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<sst xmlns="http://schemas.openxmlformats.org/spreadsheetml/2006/main" count="205" uniqueCount="56">
  <si>
    <t>Gesamtes 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</si>
  <si>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</si>
  <si>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</si>
  <si>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</si>
  <si>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</si>
  <si>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</si>
  <si>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</si>
  <si>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</si>
  <si>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</si>
  <si>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</si>
  <si>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</si>
  <si>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</si>
  <si>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</si>
  <si>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Umsatzerlöse</t>
  </si>
  <si>
    <t>Auswahl</t>
  </si>
  <si>
    <t>Anteilsatz</t>
  </si>
  <si>
    <t>Rohstoff 1</t>
  </si>
  <si>
    <t>Rohstoff 2</t>
  </si>
  <si>
    <t>Rohstoff 3</t>
  </si>
  <si>
    <t>Ausw. %-Satz</t>
  </si>
  <si>
    <t>Personalaufwand aus Kalkulation</t>
  </si>
  <si>
    <t>Personalaufwand</t>
  </si>
  <si>
    <t>Ausschnitt Anlagenverwaltung</t>
  </si>
  <si>
    <t>Maschine 1</t>
  </si>
  <si>
    <t>Maschine 2</t>
  </si>
  <si>
    <t>Maschine 3</t>
  </si>
  <si>
    <t>Anschaffungs-kosten</t>
  </si>
  <si>
    <t>Nutzungs-dauer</t>
  </si>
  <si>
    <t>Abschrei-bungsbetrag</t>
  </si>
  <si>
    <t>Abschreibung</t>
  </si>
  <si>
    <t>Kreditdaten</t>
  </si>
  <si>
    <t>monatl. Rate</t>
  </si>
  <si>
    <t>Zinssatz p.a.</t>
  </si>
  <si>
    <t>Kreditbetrag</t>
  </si>
  <si>
    <t>Restbetrag</t>
  </si>
  <si>
    <t>Zinsaufwand</t>
  </si>
  <si>
    <t>Finanzergebnis</t>
  </si>
  <si>
    <t>Ergebnis der gewöhnlichen Geschäftstätigkeit</t>
  </si>
  <si>
    <t>Jahresüberschuss /- fehlbetrag</t>
  </si>
  <si>
    <t>Materialaufwendungen</t>
  </si>
  <si>
    <t>Laufzeit in Monaten</t>
  </si>
  <si>
    <t>Betriebliche Erträge gesamt</t>
  </si>
  <si>
    <t>Betriebliche Aufwendungen gesamt</t>
  </si>
  <si>
    <t>Ordentliches Betriebsergebnis</t>
  </si>
  <si>
    <t>2. Summe</t>
  </si>
  <si>
    <t>3. Index</t>
  </si>
  <si>
    <t>4. Runden</t>
  </si>
  <si>
    <t>5. LIA</t>
  </si>
  <si>
    <t>6. Zinsz</t>
  </si>
  <si>
    <t>7. Formatierte GuV</t>
  </si>
  <si>
    <t>1. Trend</t>
  </si>
  <si>
    <t>vollständige Plan-Umsätze</t>
  </si>
  <si>
    <t>Vertriebsdaten</t>
  </si>
  <si>
    <t>Monatszahl</t>
  </si>
  <si>
    <t>8. Szenarien einfügen</t>
  </si>
  <si>
    <t>Rest-buchwert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</si>
</sst>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10" fontId="3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10" fontId="3" fillId="2" borderId="4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0" fontId="3" fillId="2" borderId="3" xfId="0" applyFont="1" applyFill="1" applyBorder="1" applyAlignment="1">
      <alignment horizontal="left" indent="1"/>
    </xf>
    <xf numFmtId="0" fontId="3" fillId="4" borderId="3" xfId="0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left" indent="1"/>
    </xf>
    <xf numFmtId="0" fontId="3" fillId="4" borderId="4" xfId="0" applyFont="1" applyFill="1" applyBorder="1" applyAlignment="1">
      <alignment/>
    </xf>
    <xf numFmtId="4" fontId="3" fillId="2" borderId="4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8" xfId="0" applyFont="1" applyFill="1" applyBorder="1" applyAlignment="1">
      <alignment horizontal="left" indent="1"/>
    </xf>
    <xf numFmtId="0" fontId="3" fillId="4" borderId="8" xfId="0" applyFont="1" applyFill="1" applyBorder="1" applyAlignment="1">
      <alignment/>
    </xf>
    <xf numFmtId="4" fontId="3" fillId="2" borderId="8" xfId="0" applyNumberFormat="1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/>
    </xf>
    <xf numFmtId="4" fontId="3" fillId="4" borderId="2" xfId="0" applyNumberFormat="1" applyFont="1" applyFill="1" applyBorder="1" applyAlignment="1">
      <alignment/>
    </xf>
    <xf numFmtId="10" fontId="3" fillId="4" borderId="3" xfId="0" applyNumberFormat="1" applyFont="1" applyFill="1" applyBorder="1" applyAlignment="1">
      <alignment/>
    </xf>
    <xf numFmtId="0" fontId="3" fillId="4" borderId="3" xfId="0" applyFont="1" applyFill="1" applyBorder="1" applyAlignment="1">
      <alignment/>
    </xf>
    <xf numFmtId="4" fontId="3" fillId="4" borderId="3" xfId="0" applyNumberFormat="1" applyFont="1" applyFill="1" applyBorder="1" applyAlignment="1">
      <alignment/>
    </xf>
    <xf numFmtId="4" fontId="3" fillId="4" borderId="4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4" fontId="3" fillId="5" borderId="1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4" fontId="3" fillId="6" borderId="1" xfId="0" applyNumberFormat="1" applyFont="1" applyFill="1" applyBorder="1" applyAlignment="1">
      <alignment/>
    </xf>
    <xf numFmtId="0" fontId="3" fillId="6" borderId="10" xfId="0" applyFont="1" applyFill="1" applyBorder="1" applyAlignment="1">
      <alignment/>
    </xf>
    <xf numFmtId="4" fontId="3" fillId="6" borderId="10" xfId="0" applyNumberFormat="1" applyFont="1" applyFill="1" applyBorder="1" applyAlignment="1">
      <alignment/>
    </xf>
    <xf numFmtId="0" fontId="3" fillId="2" borderId="0" xfId="0" applyFont="1" applyFill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4" fontId="3" fillId="2" borderId="9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4" fontId="3" fillId="5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4" fontId="3" fillId="2" borderId="8" xfId="0" applyNumberFormat="1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4" fontId="3" fillId="6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6" borderId="10" xfId="0" applyFont="1" applyFill="1" applyBorder="1" applyAlignment="1">
      <alignment vertical="top" wrapText="1"/>
    </xf>
    <xf numFmtId="4" fontId="3" fillId="6" borderId="10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31849B"/>
      <rgbColor rgb="0000FFFF"/>
      <rgbColor rgb="00C0504D"/>
      <rgbColor rgb="00008000"/>
      <rgbColor rgb="00BFBFBF"/>
      <rgbColor rgb="00DBE5F1"/>
      <rgbColor rgb="00F8F8F8"/>
      <rgbColor rgb="00FF990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CD5B4"/>
      <rgbColor rgb="0031859C"/>
      <rgbColor rgb="00FFCC99"/>
      <rgbColor rgb="007193FF"/>
      <rgbColor rgb="0033CCCC"/>
      <rgbColor rgb="00D7E4BC"/>
      <rgbColor rgb="00FDE9D9"/>
      <rgbColor rgb="00F2DDDC"/>
      <rgbColor rgb="00E6B9B8"/>
      <rgbColor rgb="00666699"/>
      <rgbColor rgb="00969696"/>
      <rgbColor rgb="007F7F7F"/>
      <rgbColor rgb="00339966"/>
      <rgbColor rgb="00EAF1DD"/>
      <rgbColor rgb="00B8CCE4"/>
      <rgbColor rgb="00F88B5A"/>
      <rgbColor rgb="00DBEEF4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workbookViewId="0" topLeftCell="A1">
      <selection activeCell="A2" sqref="A2"/>
    </sheetView>
  </sheetViews>
  <sheetFormatPr defaultColWidth="11.421875" defaultRowHeight="12.75" outlineLevelRow="1"/>
  <cols>
    <col min="1" max="1" width="37.7109375" style="2" bestFit="1" customWidth="1"/>
    <col min="2" max="2" width="13.140625" style="2" bestFit="1" customWidth="1"/>
    <col min="3" max="3" width="9.8515625" style="2" customWidth="1"/>
    <col min="4" max="4" width="8.7109375" style="2" customWidth="1"/>
    <col min="5" max="5" width="11.7109375" style="2" customWidth="1"/>
    <col min="6" max="6" width="9.140625" style="2" customWidth="1"/>
    <col min="7" max="7" width="9.7109375" style="2" customWidth="1"/>
    <col min="8" max="9" width="9.421875" style="2" customWidth="1"/>
    <col min="10" max="10" width="10.421875" style="2" customWidth="1"/>
    <col min="11" max="11" width="9.7109375" style="2" customWidth="1"/>
    <col min="12" max="12" width="10.28125" style="2" customWidth="1"/>
    <col min="13" max="13" width="10.57421875" style="2" customWidth="1"/>
    <col min="14" max="16384" width="11.421875" style="2" customWidth="1"/>
  </cols>
  <sheetData>
    <row r="1" ht="12">
      <c r="A1" s="1" t="s">
        <v>50</v>
      </c>
    </row>
    <row r="3" spans="1:13" ht="12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ht="12">
      <c r="A4" s="3" t="s">
        <v>53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</row>
    <row r="5" spans="1:13" ht="12">
      <c r="A5" s="4" t="s">
        <v>52</v>
      </c>
      <c r="B5" s="5">
        <v>8500</v>
      </c>
      <c r="C5" s="5">
        <v>7500</v>
      </c>
      <c r="D5" s="5">
        <v>9500</v>
      </c>
      <c r="E5" s="5">
        <v>11000</v>
      </c>
      <c r="F5" s="5">
        <v>14500</v>
      </c>
      <c r="G5" s="5">
        <v>13500</v>
      </c>
      <c r="H5" s="5"/>
      <c r="I5" s="5"/>
      <c r="J5" s="5"/>
      <c r="K5" s="5"/>
      <c r="L5" s="5"/>
      <c r="M5" s="5"/>
    </row>
    <row r="6" spans="1:13" ht="12">
      <c r="A6" s="4" t="s">
        <v>51</v>
      </c>
      <c r="B6" s="5">
        <v>8500</v>
      </c>
      <c r="C6" s="5">
        <v>7500</v>
      </c>
      <c r="D6" s="5">
        <v>9500</v>
      </c>
      <c r="E6" s="5">
        <v>11000</v>
      </c>
      <c r="F6" s="5">
        <v>14500</v>
      </c>
      <c r="G6" s="5">
        <v>13500</v>
      </c>
      <c r="H6" s="5">
        <f>TREND($B$6:G6,$B$4:G4,H4)</f>
        <v>15500</v>
      </c>
      <c r="I6" s="5">
        <f>TREND($B$6:H6,$B$4:H4,I4)</f>
        <v>16857.14285714286</v>
      </c>
      <c r="J6" s="5">
        <f>TREND($B$6:I6,$B$4:I4,J4)</f>
        <v>18214.285714285714</v>
      </c>
      <c r="K6" s="5">
        <f>TREND($B$6:J6,$B$4:J4,K4)</f>
        <v>19571.42857142857</v>
      </c>
      <c r="L6" s="5">
        <f>TREND($B$6:K6,$B$4:K4,L4)</f>
        <v>20928.571428571428</v>
      </c>
      <c r="M6" s="5">
        <f>TREND($B$6:L6,$B$4:L4,M4)</f>
        <v>22285.714285714283</v>
      </c>
    </row>
    <row r="8" ht="12">
      <c r="A8" s="1" t="s">
        <v>44</v>
      </c>
    </row>
    <row r="10" spans="1:14" ht="12">
      <c r="A10" s="3"/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3" t="s">
        <v>11</v>
      </c>
      <c r="N10" s="3" t="s">
        <v>12</v>
      </c>
    </row>
    <row r="11" spans="1:14" ht="12">
      <c r="A11" s="4" t="s">
        <v>13</v>
      </c>
      <c r="B11" s="5">
        <f>SUM(C11:N11)</f>
        <v>177857.14285714284</v>
      </c>
      <c r="C11" s="5">
        <f>B6</f>
        <v>8500</v>
      </c>
      <c r="D11" s="5">
        <f aca="true" t="shared" si="0" ref="D11:N11">C6</f>
        <v>7500</v>
      </c>
      <c r="E11" s="5">
        <f t="shared" si="0"/>
        <v>9500</v>
      </c>
      <c r="F11" s="5">
        <f t="shared" si="0"/>
        <v>11000</v>
      </c>
      <c r="G11" s="5">
        <f t="shared" si="0"/>
        <v>14500</v>
      </c>
      <c r="H11" s="5">
        <f t="shared" si="0"/>
        <v>13500</v>
      </c>
      <c r="I11" s="5">
        <f t="shared" si="0"/>
        <v>15500</v>
      </c>
      <c r="J11" s="5">
        <f t="shared" si="0"/>
        <v>16857.14285714286</v>
      </c>
      <c r="K11" s="5">
        <f t="shared" si="0"/>
        <v>18214.285714285714</v>
      </c>
      <c r="L11" s="5">
        <f t="shared" si="0"/>
        <v>19571.42857142857</v>
      </c>
      <c r="M11" s="5">
        <f t="shared" si="0"/>
        <v>20928.571428571428</v>
      </c>
      <c r="N11" s="5">
        <f t="shared" si="0"/>
        <v>22285.714285714283</v>
      </c>
    </row>
    <row r="13" ht="12">
      <c r="A13" s="1" t="s">
        <v>45</v>
      </c>
    </row>
    <row r="15" spans="1:2" ht="12">
      <c r="A15" s="3" t="s">
        <v>14</v>
      </c>
      <c r="B15" s="3" t="s">
        <v>15</v>
      </c>
    </row>
    <row r="16" spans="1:2" ht="12">
      <c r="A16" s="6">
        <v>1</v>
      </c>
      <c r="B16" s="7">
        <v>0.1</v>
      </c>
    </row>
    <row r="17" spans="1:2" ht="12">
      <c r="A17" s="8">
        <v>2</v>
      </c>
      <c r="B17" s="9">
        <v>0.25</v>
      </c>
    </row>
    <row r="18" spans="1:2" ht="12">
      <c r="A18" s="8">
        <v>3</v>
      </c>
      <c r="B18" s="9">
        <v>0.3</v>
      </c>
    </row>
    <row r="19" spans="1:2" ht="12">
      <c r="A19" s="10">
        <v>4</v>
      </c>
      <c r="B19" s="11">
        <v>0.07</v>
      </c>
    </row>
    <row r="21" spans="1:15" ht="12">
      <c r="A21" s="3"/>
      <c r="B21" s="3" t="s">
        <v>19</v>
      </c>
      <c r="C21" s="3" t="s">
        <v>0</v>
      </c>
      <c r="D21" s="3" t="s">
        <v>1</v>
      </c>
      <c r="E21" s="3" t="s">
        <v>2</v>
      </c>
      <c r="F21" s="3" t="s">
        <v>3</v>
      </c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  <c r="L21" s="3" t="s">
        <v>9</v>
      </c>
      <c r="M21" s="3" t="s">
        <v>10</v>
      </c>
      <c r="N21" s="3" t="s">
        <v>11</v>
      </c>
      <c r="O21" s="3" t="s">
        <v>12</v>
      </c>
    </row>
    <row r="22" spans="1:15" ht="12">
      <c r="A22" s="12" t="s">
        <v>13</v>
      </c>
      <c r="B22" s="13"/>
      <c r="C22" s="14">
        <f>SUM(D22:O22)</f>
        <v>177857.14285714284</v>
      </c>
      <c r="D22" s="14">
        <f>B6</f>
        <v>8500</v>
      </c>
      <c r="E22" s="14">
        <f aca="true" t="shared" si="1" ref="E22:O22">C6</f>
        <v>7500</v>
      </c>
      <c r="F22" s="14">
        <f t="shared" si="1"/>
        <v>9500</v>
      </c>
      <c r="G22" s="14">
        <f t="shared" si="1"/>
        <v>11000</v>
      </c>
      <c r="H22" s="14">
        <f t="shared" si="1"/>
        <v>14500</v>
      </c>
      <c r="I22" s="14">
        <f t="shared" si="1"/>
        <v>13500</v>
      </c>
      <c r="J22" s="14">
        <f t="shared" si="1"/>
        <v>15500</v>
      </c>
      <c r="K22" s="14">
        <f t="shared" si="1"/>
        <v>16857.14285714286</v>
      </c>
      <c r="L22" s="14">
        <f t="shared" si="1"/>
        <v>18214.285714285714</v>
      </c>
      <c r="M22" s="14">
        <f t="shared" si="1"/>
        <v>19571.42857142857</v>
      </c>
      <c r="N22" s="14">
        <f t="shared" si="1"/>
        <v>20928.571428571428</v>
      </c>
      <c r="O22" s="14">
        <f t="shared" si="1"/>
        <v>22285.714285714283</v>
      </c>
    </row>
    <row r="23" spans="1:15" ht="12">
      <c r="A23" s="8" t="s">
        <v>39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>
      <c r="A24" s="17" t="s">
        <v>16</v>
      </c>
      <c r="B24" s="18">
        <v>3</v>
      </c>
      <c r="C24" s="16">
        <f>C$22*INDEX($B$16:$B$19,$B24,1)</f>
        <v>53357.14285714285</v>
      </c>
      <c r="D24" s="16">
        <f aca="true" t="shared" si="2" ref="D24:O24">D$22*INDEX($B$16:$B$19,$B24,1)</f>
        <v>2550</v>
      </c>
      <c r="E24" s="16">
        <f t="shared" si="2"/>
        <v>2250</v>
      </c>
      <c r="F24" s="16">
        <f t="shared" si="2"/>
        <v>2850</v>
      </c>
      <c r="G24" s="16">
        <f t="shared" si="2"/>
        <v>3300</v>
      </c>
      <c r="H24" s="16">
        <f t="shared" si="2"/>
        <v>4350</v>
      </c>
      <c r="I24" s="16">
        <f t="shared" si="2"/>
        <v>4050</v>
      </c>
      <c r="J24" s="16">
        <f t="shared" si="2"/>
        <v>4650</v>
      </c>
      <c r="K24" s="16">
        <f t="shared" si="2"/>
        <v>5057.142857142858</v>
      </c>
      <c r="L24" s="16">
        <f t="shared" si="2"/>
        <v>5464.285714285714</v>
      </c>
      <c r="M24" s="16">
        <f t="shared" si="2"/>
        <v>5871.428571428571</v>
      </c>
      <c r="N24" s="16">
        <f t="shared" si="2"/>
        <v>6278.571428571428</v>
      </c>
      <c r="O24" s="16">
        <f t="shared" si="2"/>
        <v>6685.714285714284</v>
      </c>
    </row>
    <row r="25" spans="1:15" ht="12">
      <c r="A25" s="19" t="s">
        <v>17</v>
      </c>
      <c r="B25" s="20">
        <v>1</v>
      </c>
      <c r="C25" s="21">
        <f aca="true" t="shared" si="3" ref="C25:O26">C$22*INDEX($B$16:$B$19,$B25,1)</f>
        <v>17785.714285714286</v>
      </c>
      <c r="D25" s="21">
        <f t="shared" si="3"/>
        <v>850</v>
      </c>
      <c r="E25" s="21">
        <f t="shared" si="3"/>
        <v>750</v>
      </c>
      <c r="F25" s="21">
        <f t="shared" si="3"/>
        <v>950</v>
      </c>
      <c r="G25" s="21">
        <f t="shared" si="3"/>
        <v>1100</v>
      </c>
      <c r="H25" s="21">
        <f t="shared" si="3"/>
        <v>1450</v>
      </c>
      <c r="I25" s="21">
        <f t="shared" si="3"/>
        <v>1350</v>
      </c>
      <c r="J25" s="21">
        <f t="shared" si="3"/>
        <v>1550</v>
      </c>
      <c r="K25" s="21">
        <f t="shared" si="3"/>
        <v>1685.714285714286</v>
      </c>
      <c r="L25" s="21">
        <f t="shared" si="3"/>
        <v>1821.4285714285716</v>
      </c>
      <c r="M25" s="21">
        <f t="shared" si="3"/>
        <v>1957.1428571428569</v>
      </c>
      <c r="N25" s="21">
        <f t="shared" si="3"/>
        <v>2092.8571428571427</v>
      </c>
      <c r="O25" s="21">
        <f t="shared" si="3"/>
        <v>2228.5714285714284</v>
      </c>
    </row>
    <row r="26" spans="1:15" ht="12">
      <c r="A26" s="22" t="s">
        <v>18</v>
      </c>
      <c r="B26" s="23">
        <v>4</v>
      </c>
      <c r="C26" s="24">
        <f t="shared" si="3"/>
        <v>12450</v>
      </c>
      <c r="D26" s="24">
        <f t="shared" si="3"/>
        <v>595</v>
      </c>
      <c r="E26" s="24">
        <f t="shared" si="3"/>
        <v>525</v>
      </c>
      <c r="F26" s="24">
        <f t="shared" si="3"/>
        <v>665.0000000000001</v>
      </c>
      <c r="G26" s="24">
        <f t="shared" si="3"/>
        <v>770.0000000000001</v>
      </c>
      <c r="H26" s="24">
        <f t="shared" si="3"/>
        <v>1015.0000000000001</v>
      </c>
      <c r="I26" s="24">
        <f t="shared" si="3"/>
        <v>945.0000000000001</v>
      </c>
      <c r="J26" s="24">
        <f t="shared" si="3"/>
        <v>1085</v>
      </c>
      <c r="K26" s="24">
        <f t="shared" si="3"/>
        <v>1180.0000000000002</v>
      </c>
      <c r="L26" s="24">
        <f t="shared" si="3"/>
        <v>1275</v>
      </c>
      <c r="M26" s="24">
        <f t="shared" si="3"/>
        <v>1370</v>
      </c>
      <c r="N26" s="24">
        <f t="shared" si="3"/>
        <v>1465</v>
      </c>
      <c r="O26" s="24">
        <f t="shared" si="3"/>
        <v>1560</v>
      </c>
    </row>
    <row r="28" ht="12">
      <c r="A28" s="1" t="s">
        <v>46</v>
      </c>
    </row>
    <row r="30" spans="1:15" ht="12">
      <c r="A30" s="25"/>
      <c r="B30" s="26"/>
      <c r="C30" s="3" t="s">
        <v>0</v>
      </c>
      <c r="D30" s="3" t="s">
        <v>1</v>
      </c>
      <c r="E30" s="3" t="s">
        <v>2</v>
      </c>
      <c r="F30" s="3" t="s">
        <v>3</v>
      </c>
      <c r="G30" s="3" t="s">
        <v>4</v>
      </c>
      <c r="H30" s="3" t="s">
        <v>5</v>
      </c>
      <c r="I30" s="3" t="s">
        <v>6</v>
      </c>
      <c r="J30" s="3" t="s">
        <v>7</v>
      </c>
      <c r="K30" s="3" t="s">
        <v>8</v>
      </c>
      <c r="L30" s="3" t="s">
        <v>9</v>
      </c>
      <c r="M30" s="3" t="s">
        <v>10</v>
      </c>
      <c r="N30" s="3" t="s">
        <v>11</v>
      </c>
      <c r="O30" s="3" t="s">
        <v>12</v>
      </c>
    </row>
    <row r="31" spans="1:15" ht="12">
      <c r="A31" s="27" t="s">
        <v>20</v>
      </c>
      <c r="B31" s="28"/>
      <c r="C31" s="29">
        <f>SUM(D31:O31)</f>
        <v>37865.3287742954</v>
      </c>
      <c r="D31" s="29">
        <v>3526.7892365478</v>
      </c>
      <c r="E31" s="29">
        <v>3135.68129875</v>
      </c>
      <c r="F31" s="29">
        <v>2968.36416568</v>
      </c>
      <c r="G31" s="29">
        <v>3053.6365416412</v>
      </c>
      <c r="H31" s="29">
        <v>3154.364655497</v>
      </c>
      <c r="I31" s="29">
        <v>3369.6497569412</v>
      </c>
      <c r="J31" s="29">
        <v>3258.5664169741</v>
      </c>
      <c r="K31" s="29">
        <v>3157.485816941</v>
      </c>
      <c r="L31" s="29">
        <v>3014.94572648413</v>
      </c>
      <c r="M31" s="29">
        <v>2987.63455974163</v>
      </c>
      <c r="N31" s="29">
        <v>3069.51646549984</v>
      </c>
      <c r="O31" s="29">
        <v>3168.6941335975</v>
      </c>
    </row>
    <row r="33" spans="1:15" ht="12">
      <c r="A33" s="3"/>
      <c r="B33" s="3" t="s">
        <v>19</v>
      </c>
      <c r="C33" s="3" t="s">
        <v>0</v>
      </c>
      <c r="D33" s="3" t="s">
        <v>1</v>
      </c>
      <c r="E33" s="3" t="s">
        <v>2</v>
      </c>
      <c r="F33" s="3" t="s">
        <v>3</v>
      </c>
      <c r="G33" s="3" t="s">
        <v>4</v>
      </c>
      <c r="H33" s="3" t="s">
        <v>5</v>
      </c>
      <c r="I33" s="3" t="s">
        <v>6</v>
      </c>
      <c r="J33" s="3" t="s">
        <v>7</v>
      </c>
      <c r="K33" s="3" t="s">
        <v>8</v>
      </c>
      <c r="L33" s="3" t="s">
        <v>9</v>
      </c>
      <c r="M33" s="3" t="s">
        <v>10</v>
      </c>
      <c r="N33" s="3" t="s">
        <v>11</v>
      </c>
      <c r="O33" s="3" t="s">
        <v>12</v>
      </c>
    </row>
    <row r="34" spans="1:15" ht="12">
      <c r="A34" s="12" t="s">
        <v>13</v>
      </c>
      <c r="B34" s="13"/>
      <c r="C34" s="14">
        <f>SUM(D34:O34)</f>
        <v>177857</v>
      </c>
      <c r="D34" s="14">
        <f>ROUND(C11,0)</f>
        <v>8500</v>
      </c>
      <c r="E34" s="14">
        <f aca="true" t="shared" si="4" ref="E34:O34">ROUND(D11,0)</f>
        <v>7500</v>
      </c>
      <c r="F34" s="14">
        <f t="shared" si="4"/>
        <v>9500</v>
      </c>
      <c r="G34" s="14">
        <f t="shared" si="4"/>
        <v>11000</v>
      </c>
      <c r="H34" s="14">
        <f t="shared" si="4"/>
        <v>14500</v>
      </c>
      <c r="I34" s="14">
        <f t="shared" si="4"/>
        <v>13500</v>
      </c>
      <c r="J34" s="14">
        <f t="shared" si="4"/>
        <v>15500</v>
      </c>
      <c r="K34" s="14">
        <f t="shared" si="4"/>
        <v>16857</v>
      </c>
      <c r="L34" s="14">
        <f t="shared" si="4"/>
        <v>18214</v>
      </c>
      <c r="M34" s="14">
        <f t="shared" si="4"/>
        <v>19571</v>
      </c>
      <c r="N34" s="14">
        <f t="shared" si="4"/>
        <v>20929</v>
      </c>
      <c r="O34" s="14">
        <f t="shared" si="4"/>
        <v>22286</v>
      </c>
    </row>
    <row r="35" spans="1:15" ht="12">
      <c r="A35" s="8" t="s">
        <v>39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">
      <c r="A36" s="17" t="s">
        <v>16</v>
      </c>
      <c r="B36" s="18">
        <v>3</v>
      </c>
      <c r="C36" s="16">
        <f>C$22*INDEX($B$16:$B$19,$B36,1)</f>
        <v>53357.14285714285</v>
      </c>
      <c r="D36" s="16">
        <f aca="true" t="shared" si="5" ref="D36:O36">D$22*INDEX($B$16:$B$19,$B36,1)</f>
        <v>2550</v>
      </c>
      <c r="E36" s="16">
        <f t="shared" si="5"/>
        <v>2250</v>
      </c>
      <c r="F36" s="16">
        <f t="shared" si="5"/>
        <v>2850</v>
      </c>
      <c r="G36" s="16">
        <f t="shared" si="5"/>
        <v>3300</v>
      </c>
      <c r="H36" s="16">
        <f t="shared" si="5"/>
        <v>4350</v>
      </c>
      <c r="I36" s="16">
        <f t="shared" si="5"/>
        <v>4050</v>
      </c>
      <c r="J36" s="16">
        <f t="shared" si="5"/>
        <v>4650</v>
      </c>
      <c r="K36" s="16">
        <f t="shared" si="5"/>
        <v>5057.142857142858</v>
      </c>
      <c r="L36" s="16">
        <f t="shared" si="5"/>
        <v>5464.285714285714</v>
      </c>
      <c r="M36" s="16">
        <f t="shared" si="5"/>
        <v>5871.428571428571</v>
      </c>
      <c r="N36" s="16">
        <f t="shared" si="5"/>
        <v>6278.571428571428</v>
      </c>
      <c r="O36" s="16">
        <f t="shared" si="5"/>
        <v>6685.714285714284</v>
      </c>
    </row>
    <row r="37" spans="1:15" ht="12">
      <c r="A37" s="19" t="s">
        <v>17</v>
      </c>
      <c r="B37" s="20">
        <v>1</v>
      </c>
      <c r="C37" s="21">
        <f aca="true" t="shared" si="6" ref="C37:O38">C$22*INDEX($B$16:$B$19,$B37,1)</f>
        <v>17785.714285714286</v>
      </c>
      <c r="D37" s="21">
        <f t="shared" si="6"/>
        <v>850</v>
      </c>
      <c r="E37" s="21">
        <f t="shared" si="6"/>
        <v>750</v>
      </c>
      <c r="F37" s="21">
        <f t="shared" si="6"/>
        <v>950</v>
      </c>
      <c r="G37" s="21">
        <f t="shared" si="6"/>
        <v>1100</v>
      </c>
      <c r="H37" s="21">
        <f t="shared" si="6"/>
        <v>1450</v>
      </c>
      <c r="I37" s="21">
        <f t="shared" si="6"/>
        <v>1350</v>
      </c>
      <c r="J37" s="21">
        <f t="shared" si="6"/>
        <v>1550</v>
      </c>
      <c r="K37" s="21">
        <f t="shared" si="6"/>
        <v>1685.714285714286</v>
      </c>
      <c r="L37" s="21">
        <f t="shared" si="6"/>
        <v>1821.4285714285716</v>
      </c>
      <c r="M37" s="21">
        <f t="shared" si="6"/>
        <v>1957.1428571428569</v>
      </c>
      <c r="N37" s="21">
        <f t="shared" si="6"/>
        <v>2092.8571428571427</v>
      </c>
      <c r="O37" s="21">
        <f t="shared" si="6"/>
        <v>2228.5714285714284</v>
      </c>
    </row>
    <row r="38" spans="1:15" ht="12">
      <c r="A38" s="30" t="s">
        <v>18</v>
      </c>
      <c r="B38" s="31">
        <v>4</v>
      </c>
      <c r="C38" s="32">
        <f t="shared" si="6"/>
        <v>12450</v>
      </c>
      <c r="D38" s="32">
        <f t="shared" si="6"/>
        <v>595</v>
      </c>
      <c r="E38" s="32">
        <f t="shared" si="6"/>
        <v>525</v>
      </c>
      <c r="F38" s="32">
        <f t="shared" si="6"/>
        <v>665.0000000000001</v>
      </c>
      <c r="G38" s="32">
        <f t="shared" si="6"/>
        <v>770.0000000000001</v>
      </c>
      <c r="H38" s="32">
        <f t="shared" si="6"/>
        <v>1015.0000000000001</v>
      </c>
      <c r="I38" s="32">
        <f t="shared" si="6"/>
        <v>945.0000000000001</v>
      </c>
      <c r="J38" s="32">
        <f t="shared" si="6"/>
        <v>1085</v>
      </c>
      <c r="K38" s="32">
        <f t="shared" si="6"/>
        <v>1180.0000000000002</v>
      </c>
      <c r="L38" s="32">
        <f t="shared" si="6"/>
        <v>1275</v>
      </c>
      <c r="M38" s="32">
        <f t="shared" si="6"/>
        <v>1370</v>
      </c>
      <c r="N38" s="32">
        <f t="shared" si="6"/>
        <v>1465</v>
      </c>
      <c r="O38" s="32">
        <f t="shared" si="6"/>
        <v>1560</v>
      </c>
    </row>
    <row r="39" spans="1:15" ht="12">
      <c r="A39" s="10" t="s">
        <v>21</v>
      </c>
      <c r="B39" s="10"/>
      <c r="C39" s="24">
        <f>SUM(D39:O39)</f>
        <v>37867</v>
      </c>
      <c r="D39" s="24">
        <f>ROUND(D$31,0)</f>
        <v>3527</v>
      </c>
      <c r="E39" s="24">
        <f aca="true" t="shared" si="7" ref="E39:O39">ROUND(E$31,0)</f>
        <v>3136</v>
      </c>
      <c r="F39" s="24">
        <f t="shared" si="7"/>
        <v>2968</v>
      </c>
      <c r="G39" s="24">
        <f t="shared" si="7"/>
        <v>3054</v>
      </c>
      <c r="H39" s="24">
        <f t="shared" si="7"/>
        <v>3154</v>
      </c>
      <c r="I39" s="24">
        <f t="shared" si="7"/>
        <v>3370</v>
      </c>
      <c r="J39" s="24">
        <f t="shared" si="7"/>
        <v>3259</v>
      </c>
      <c r="K39" s="24">
        <f t="shared" si="7"/>
        <v>3157</v>
      </c>
      <c r="L39" s="24">
        <f t="shared" si="7"/>
        <v>3015</v>
      </c>
      <c r="M39" s="24">
        <f t="shared" si="7"/>
        <v>2988</v>
      </c>
      <c r="N39" s="24">
        <f t="shared" si="7"/>
        <v>3070</v>
      </c>
      <c r="O39" s="24">
        <f t="shared" si="7"/>
        <v>3169</v>
      </c>
    </row>
    <row r="41" ht="12">
      <c r="A41" s="1" t="s">
        <v>47</v>
      </c>
    </row>
    <row r="43" ht="12">
      <c r="A43" s="2" t="s">
        <v>22</v>
      </c>
    </row>
    <row r="44" spans="1:5" s="34" customFormat="1" ht="24">
      <c r="A44" s="33"/>
      <c r="B44" s="33" t="s">
        <v>26</v>
      </c>
      <c r="C44" s="33" t="s">
        <v>55</v>
      </c>
      <c r="D44" s="33" t="s">
        <v>27</v>
      </c>
      <c r="E44" s="33" t="s">
        <v>28</v>
      </c>
    </row>
    <row r="45" spans="1:5" ht="12">
      <c r="A45" s="6" t="s">
        <v>23</v>
      </c>
      <c r="B45" s="16">
        <v>25000</v>
      </c>
      <c r="C45" s="16">
        <v>0</v>
      </c>
      <c r="D45" s="6">
        <v>2</v>
      </c>
      <c r="E45" s="16">
        <f>SLN(B45,C45,D45)/12</f>
        <v>1041.6666666666667</v>
      </c>
    </row>
    <row r="46" spans="1:5" ht="12">
      <c r="A46" s="8" t="s">
        <v>24</v>
      </c>
      <c r="B46" s="21">
        <v>35000</v>
      </c>
      <c r="C46" s="21">
        <v>0</v>
      </c>
      <c r="D46" s="8">
        <v>5</v>
      </c>
      <c r="E46" s="21">
        <f>SLN(B46,C46,D46)/12</f>
        <v>583.3333333333334</v>
      </c>
    </row>
    <row r="47" spans="1:5" ht="12">
      <c r="A47" s="10" t="s">
        <v>25</v>
      </c>
      <c r="B47" s="24">
        <v>55000</v>
      </c>
      <c r="C47" s="24">
        <v>1000</v>
      </c>
      <c r="D47" s="10">
        <v>10</v>
      </c>
      <c r="E47" s="24">
        <f>SLN(B47,C47,D47)/12</f>
        <v>450</v>
      </c>
    </row>
    <row r="49" spans="1:15" s="34" customFormat="1" ht="24">
      <c r="A49" s="33"/>
      <c r="B49" s="33" t="s">
        <v>19</v>
      </c>
      <c r="C49" s="33" t="s">
        <v>0</v>
      </c>
      <c r="D49" s="33" t="s">
        <v>1</v>
      </c>
      <c r="E49" s="33" t="s">
        <v>2</v>
      </c>
      <c r="F49" s="33" t="s">
        <v>3</v>
      </c>
      <c r="G49" s="33" t="s">
        <v>4</v>
      </c>
      <c r="H49" s="33" t="s">
        <v>5</v>
      </c>
      <c r="I49" s="33" t="s">
        <v>6</v>
      </c>
      <c r="J49" s="33" t="s">
        <v>7</v>
      </c>
      <c r="K49" s="33" t="s">
        <v>8</v>
      </c>
      <c r="L49" s="33" t="s">
        <v>9</v>
      </c>
      <c r="M49" s="33" t="s">
        <v>10</v>
      </c>
      <c r="N49" s="33" t="s">
        <v>11</v>
      </c>
      <c r="O49" s="33" t="s">
        <v>12</v>
      </c>
    </row>
    <row r="50" spans="1:15" ht="12">
      <c r="A50" s="12" t="s">
        <v>13</v>
      </c>
      <c r="B50" s="13"/>
      <c r="C50" s="14">
        <f>SUM(D50:O50)</f>
        <v>177857</v>
      </c>
      <c r="D50" s="14">
        <f>ROUND(B6,0)</f>
        <v>8500</v>
      </c>
      <c r="E50" s="14">
        <f aca="true" t="shared" si="8" ref="E50:O50">ROUND(C6,0)</f>
        <v>7500</v>
      </c>
      <c r="F50" s="14">
        <f t="shared" si="8"/>
        <v>9500</v>
      </c>
      <c r="G50" s="14">
        <f t="shared" si="8"/>
        <v>11000</v>
      </c>
      <c r="H50" s="14">
        <f t="shared" si="8"/>
        <v>14500</v>
      </c>
      <c r="I50" s="14">
        <f t="shared" si="8"/>
        <v>13500</v>
      </c>
      <c r="J50" s="14">
        <f t="shared" si="8"/>
        <v>15500</v>
      </c>
      <c r="K50" s="14">
        <f t="shared" si="8"/>
        <v>16857</v>
      </c>
      <c r="L50" s="14">
        <f t="shared" si="8"/>
        <v>18214</v>
      </c>
      <c r="M50" s="14">
        <f t="shared" si="8"/>
        <v>19571</v>
      </c>
      <c r="N50" s="14">
        <f t="shared" si="8"/>
        <v>20929</v>
      </c>
      <c r="O50" s="14">
        <f t="shared" si="8"/>
        <v>22286</v>
      </c>
    </row>
    <row r="51" spans="1:15" ht="12">
      <c r="A51" s="8" t="s">
        <v>39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">
      <c r="A52" s="17" t="s">
        <v>16</v>
      </c>
      <c r="B52" s="18">
        <v>3</v>
      </c>
      <c r="C52" s="16">
        <f>C$22*INDEX($B$16:$B$19,$B52,1)</f>
        <v>53357.14285714285</v>
      </c>
      <c r="D52" s="16">
        <f aca="true" t="shared" si="9" ref="D52:O52">D$22*INDEX($B$16:$B$19,$B52,1)</f>
        <v>2550</v>
      </c>
      <c r="E52" s="16">
        <f t="shared" si="9"/>
        <v>2250</v>
      </c>
      <c r="F52" s="16">
        <f t="shared" si="9"/>
        <v>2850</v>
      </c>
      <c r="G52" s="16">
        <f t="shared" si="9"/>
        <v>3300</v>
      </c>
      <c r="H52" s="16">
        <f t="shared" si="9"/>
        <v>4350</v>
      </c>
      <c r="I52" s="16">
        <f t="shared" si="9"/>
        <v>4050</v>
      </c>
      <c r="J52" s="16">
        <f t="shared" si="9"/>
        <v>4650</v>
      </c>
      <c r="K52" s="16">
        <f t="shared" si="9"/>
        <v>5057.142857142858</v>
      </c>
      <c r="L52" s="16">
        <f t="shared" si="9"/>
        <v>5464.285714285714</v>
      </c>
      <c r="M52" s="16">
        <f t="shared" si="9"/>
        <v>5871.428571428571</v>
      </c>
      <c r="N52" s="16">
        <f t="shared" si="9"/>
        <v>6278.571428571428</v>
      </c>
      <c r="O52" s="16">
        <f t="shared" si="9"/>
        <v>6685.714285714284</v>
      </c>
    </row>
    <row r="53" spans="1:15" ht="12">
      <c r="A53" s="19" t="s">
        <v>17</v>
      </c>
      <c r="B53" s="20">
        <v>1</v>
      </c>
      <c r="C53" s="21">
        <f aca="true" t="shared" si="10" ref="C53:O54">C$22*INDEX($B$16:$B$19,$B53,1)</f>
        <v>17785.714285714286</v>
      </c>
      <c r="D53" s="21">
        <f t="shared" si="10"/>
        <v>850</v>
      </c>
      <c r="E53" s="21">
        <f t="shared" si="10"/>
        <v>750</v>
      </c>
      <c r="F53" s="21">
        <f t="shared" si="10"/>
        <v>950</v>
      </c>
      <c r="G53" s="21">
        <f t="shared" si="10"/>
        <v>1100</v>
      </c>
      <c r="H53" s="21">
        <f t="shared" si="10"/>
        <v>1450</v>
      </c>
      <c r="I53" s="21">
        <f t="shared" si="10"/>
        <v>1350</v>
      </c>
      <c r="J53" s="21">
        <f t="shared" si="10"/>
        <v>1550</v>
      </c>
      <c r="K53" s="21">
        <f t="shared" si="10"/>
        <v>1685.714285714286</v>
      </c>
      <c r="L53" s="21">
        <f t="shared" si="10"/>
        <v>1821.4285714285716</v>
      </c>
      <c r="M53" s="21">
        <f t="shared" si="10"/>
        <v>1957.1428571428569</v>
      </c>
      <c r="N53" s="21">
        <f t="shared" si="10"/>
        <v>2092.8571428571427</v>
      </c>
      <c r="O53" s="21">
        <f t="shared" si="10"/>
        <v>2228.5714285714284</v>
      </c>
    </row>
    <row r="54" spans="1:15" ht="12">
      <c r="A54" s="30" t="s">
        <v>18</v>
      </c>
      <c r="B54" s="31">
        <v>4</v>
      </c>
      <c r="C54" s="32">
        <f t="shared" si="10"/>
        <v>12450</v>
      </c>
      <c r="D54" s="32">
        <f t="shared" si="10"/>
        <v>595</v>
      </c>
      <c r="E54" s="32">
        <f t="shared" si="10"/>
        <v>525</v>
      </c>
      <c r="F54" s="32">
        <f t="shared" si="10"/>
        <v>665.0000000000001</v>
      </c>
      <c r="G54" s="32">
        <f t="shared" si="10"/>
        <v>770.0000000000001</v>
      </c>
      <c r="H54" s="32">
        <f t="shared" si="10"/>
        <v>1015.0000000000001</v>
      </c>
      <c r="I54" s="32">
        <f t="shared" si="10"/>
        <v>945.0000000000001</v>
      </c>
      <c r="J54" s="32">
        <f t="shared" si="10"/>
        <v>1085</v>
      </c>
      <c r="K54" s="32">
        <f t="shared" si="10"/>
        <v>1180.0000000000002</v>
      </c>
      <c r="L54" s="32">
        <f t="shared" si="10"/>
        <v>1275</v>
      </c>
      <c r="M54" s="32">
        <f t="shared" si="10"/>
        <v>1370</v>
      </c>
      <c r="N54" s="32">
        <f t="shared" si="10"/>
        <v>1465</v>
      </c>
      <c r="O54" s="32">
        <f t="shared" si="10"/>
        <v>1560</v>
      </c>
    </row>
    <row r="55" spans="1:15" ht="12">
      <c r="A55" s="35" t="s">
        <v>21</v>
      </c>
      <c r="B55" s="35"/>
      <c r="C55" s="32">
        <f>SUM(D55:O55)</f>
        <v>37867</v>
      </c>
      <c r="D55" s="32">
        <f>ROUND(D$31,0)</f>
        <v>3527</v>
      </c>
      <c r="E55" s="32">
        <f aca="true" t="shared" si="11" ref="E55:O55">ROUND(E$31,0)</f>
        <v>3136</v>
      </c>
      <c r="F55" s="32">
        <f t="shared" si="11"/>
        <v>2968</v>
      </c>
      <c r="G55" s="32">
        <f t="shared" si="11"/>
        <v>3054</v>
      </c>
      <c r="H55" s="32">
        <f t="shared" si="11"/>
        <v>3154</v>
      </c>
      <c r="I55" s="32">
        <f t="shared" si="11"/>
        <v>3370</v>
      </c>
      <c r="J55" s="32">
        <f t="shared" si="11"/>
        <v>3259</v>
      </c>
      <c r="K55" s="32">
        <f t="shared" si="11"/>
        <v>3157</v>
      </c>
      <c r="L55" s="32">
        <f t="shared" si="11"/>
        <v>3015</v>
      </c>
      <c r="M55" s="32">
        <f t="shared" si="11"/>
        <v>2988</v>
      </c>
      <c r="N55" s="32">
        <f t="shared" si="11"/>
        <v>3070</v>
      </c>
      <c r="O55" s="32">
        <f t="shared" si="11"/>
        <v>3169</v>
      </c>
    </row>
    <row r="56" spans="1:15" ht="12">
      <c r="A56" s="10" t="s">
        <v>29</v>
      </c>
      <c r="B56" s="10"/>
      <c r="C56" s="24">
        <f>SUM($E$45:$E$47)</f>
        <v>2075</v>
      </c>
      <c r="D56" s="24">
        <f aca="true" t="shared" si="12" ref="D56:O56">SUM($E$45:$E$47)</f>
        <v>2075</v>
      </c>
      <c r="E56" s="24">
        <f t="shared" si="12"/>
        <v>2075</v>
      </c>
      <c r="F56" s="24">
        <f t="shared" si="12"/>
        <v>2075</v>
      </c>
      <c r="G56" s="24">
        <f t="shared" si="12"/>
        <v>2075</v>
      </c>
      <c r="H56" s="24">
        <f t="shared" si="12"/>
        <v>2075</v>
      </c>
      <c r="I56" s="24">
        <f t="shared" si="12"/>
        <v>2075</v>
      </c>
      <c r="J56" s="24">
        <f t="shared" si="12"/>
        <v>2075</v>
      </c>
      <c r="K56" s="24">
        <f t="shared" si="12"/>
        <v>2075</v>
      </c>
      <c r="L56" s="24">
        <f t="shared" si="12"/>
        <v>2075</v>
      </c>
      <c r="M56" s="24">
        <f t="shared" si="12"/>
        <v>2075</v>
      </c>
      <c r="N56" s="24">
        <f t="shared" si="12"/>
        <v>2075</v>
      </c>
      <c r="O56" s="24">
        <f t="shared" si="12"/>
        <v>2075</v>
      </c>
    </row>
    <row r="58" ht="12">
      <c r="A58" s="1" t="s">
        <v>48</v>
      </c>
    </row>
    <row r="60" spans="1:2" ht="12">
      <c r="A60" s="25" t="s">
        <v>30</v>
      </c>
      <c r="B60" s="26"/>
    </row>
    <row r="61" spans="1:2" ht="12">
      <c r="A61" s="6" t="s">
        <v>31</v>
      </c>
      <c r="B61" s="36">
        <v>2000</v>
      </c>
    </row>
    <row r="62" spans="1:2" ht="12">
      <c r="A62" s="8" t="s">
        <v>32</v>
      </c>
      <c r="B62" s="37">
        <v>0.0905</v>
      </c>
    </row>
    <row r="63" spans="1:2" ht="12">
      <c r="A63" s="8" t="s">
        <v>40</v>
      </c>
      <c r="B63" s="38">
        <v>72</v>
      </c>
    </row>
    <row r="64" spans="1:2" ht="12">
      <c r="A64" s="8" t="s">
        <v>33</v>
      </c>
      <c r="B64" s="39">
        <v>100000</v>
      </c>
    </row>
    <row r="65" spans="1:2" ht="12">
      <c r="A65" s="10" t="s">
        <v>34</v>
      </c>
      <c r="B65" s="40">
        <v>20000</v>
      </c>
    </row>
    <row r="67" spans="1:15" s="34" customFormat="1" ht="24">
      <c r="A67" s="33"/>
      <c r="B67" s="33" t="s">
        <v>19</v>
      </c>
      <c r="C67" s="33" t="s">
        <v>0</v>
      </c>
      <c r="D67" s="33" t="s">
        <v>1</v>
      </c>
      <c r="E67" s="33" t="s">
        <v>2</v>
      </c>
      <c r="F67" s="33" t="s">
        <v>3</v>
      </c>
      <c r="G67" s="33" t="s">
        <v>4</v>
      </c>
      <c r="H67" s="33" t="s">
        <v>5</v>
      </c>
      <c r="I67" s="33" t="s">
        <v>6</v>
      </c>
      <c r="J67" s="33" t="s">
        <v>7</v>
      </c>
      <c r="K67" s="33" t="s">
        <v>8</v>
      </c>
      <c r="L67" s="33" t="s">
        <v>9</v>
      </c>
      <c r="M67" s="33" t="s">
        <v>10</v>
      </c>
      <c r="N67" s="33" t="s">
        <v>11</v>
      </c>
      <c r="O67" s="33" t="s">
        <v>12</v>
      </c>
    </row>
    <row r="68" spans="1:15" ht="12">
      <c r="A68" s="12" t="s">
        <v>13</v>
      </c>
      <c r="B68" s="13"/>
      <c r="C68" s="14">
        <f>SUM(D68:O68)</f>
        <v>177857</v>
      </c>
      <c r="D68" s="14">
        <f>ROUND(B6,0)</f>
        <v>8500</v>
      </c>
      <c r="E68" s="14">
        <f aca="true" t="shared" si="13" ref="E68:O68">ROUND(C6,0)</f>
        <v>7500</v>
      </c>
      <c r="F68" s="14">
        <f t="shared" si="13"/>
        <v>9500</v>
      </c>
      <c r="G68" s="14">
        <f t="shared" si="13"/>
        <v>11000</v>
      </c>
      <c r="H68" s="14">
        <f t="shared" si="13"/>
        <v>14500</v>
      </c>
      <c r="I68" s="14">
        <f t="shared" si="13"/>
        <v>13500</v>
      </c>
      <c r="J68" s="14">
        <f t="shared" si="13"/>
        <v>15500</v>
      </c>
      <c r="K68" s="14">
        <f t="shared" si="13"/>
        <v>16857</v>
      </c>
      <c r="L68" s="14">
        <f t="shared" si="13"/>
        <v>18214</v>
      </c>
      <c r="M68" s="14">
        <f t="shared" si="13"/>
        <v>19571</v>
      </c>
      <c r="N68" s="14">
        <f t="shared" si="13"/>
        <v>20929</v>
      </c>
      <c r="O68" s="14">
        <f t="shared" si="13"/>
        <v>22286</v>
      </c>
    </row>
    <row r="69" spans="1:15" ht="12">
      <c r="A69" s="8" t="s">
        <v>39</v>
      </c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2">
      <c r="A70" s="17" t="s">
        <v>16</v>
      </c>
      <c r="B70" s="18">
        <v>3</v>
      </c>
      <c r="C70" s="16">
        <f>C$22*INDEX($B$16:$B$19,$B70,1)</f>
        <v>53357.14285714285</v>
      </c>
      <c r="D70" s="16">
        <f aca="true" t="shared" si="14" ref="D70:O70">D$22*INDEX($B$16:$B$19,$B70,1)</f>
        <v>2550</v>
      </c>
      <c r="E70" s="16">
        <f t="shared" si="14"/>
        <v>2250</v>
      </c>
      <c r="F70" s="16">
        <f t="shared" si="14"/>
        <v>2850</v>
      </c>
      <c r="G70" s="16">
        <f t="shared" si="14"/>
        <v>3300</v>
      </c>
      <c r="H70" s="16">
        <f t="shared" si="14"/>
        <v>4350</v>
      </c>
      <c r="I70" s="16">
        <f t="shared" si="14"/>
        <v>4050</v>
      </c>
      <c r="J70" s="16">
        <f t="shared" si="14"/>
        <v>4650</v>
      </c>
      <c r="K70" s="16">
        <f t="shared" si="14"/>
        <v>5057.142857142858</v>
      </c>
      <c r="L70" s="16">
        <f t="shared" si="14"/>
        <v>5464.285714285714</v>
      </c>
      <c r="M70" s="16">
        <f t="shared" si="14"/>
        <v>5871.428571428571</v>
      </c>
      <c r="N70" s="16">
        <f t="shared" si="14"/>
        <v>6278.571428571428</v>
      </c>
      <c r="O70" s="16">
        <f t="shared" si="14"/>
        <v>6685.714285714284</v>
      </c>
    </row>
    <row r="71" spans="1:15" ht="12">
      <c r="A71" s="19" t="s">
        <v>17</v>
      </c>
      <c r="B71" s="20">
        <v>1</v>
      </c>
      <c r="C71" s="21">
        <f aca="true" t="shared" si="15" ref="C71:O72">C$22*INDEX($B$16:$B$19,$B71,1)</f>
        <v>17785.714285714286</v>
      </c>
      <c r="D71" s="21">
        <f t="shared" si="15"/>
        <v>850</v>
      </c>
      <c r="E71" s="21">
        <f t="shared" si="15"/>
        <v>750</v>
      </c>
      <c r="F71" s="21">
        <f t="shared" si="15"/>
        <v>950</v>
      </c>
      <c r="G71" s="21">
        <f t="shared" si="15"/>
        <v>1100</v>
      </c>
      <c r="H71" s="21">
        <f t="shared" si="15"/>
        <v>1450</v>
      </c>
      <c r="I71" s="21">
        <f t="shared" si="15"/>
        <v>1350</v>
      </c>
      <c r="J71" s="21">
        <f t="shared" si="15"/>
        <v>1550</v>
      </c>
      <c r="K71" s="21">
        <f t="shared" si="15"/>
        <v>1685.714285714286</v>
      </c>
      <c r="L71" s="21">
        <f t="shared" si="15"/>
        <v>1821.4285714285716</v>
      </c>
      <c r="M71" s="21">
        <f t="shared" si="15"/>
        <v>1957.1428571428569</v>
      </c>
      <c r="N71" s="21">
        <f t="shared" si="15"/>
        <v>2092.8571428571427</v>
      </c>
      <c r="O71" s="21">
        <f t="shared" si="15"/>
        <v>2228.5714285714284</v>
      </c>
    </row>
    <row r="72" spans="1:15" ht="12">
      <c r="A72" s="30" t="s">
        <v>18</v>
      </c>
      <c r="B72" s="31">
        <v>4</v>
      </c>
      <c r="C72" s="32">
        <f t="shared" si="15"/>
        <v>12450</v>
      </c>
      <c r="D72" s="32">
        <f t="shared" si="15"/>
        <v>595</v>
      </c>
      <c r="E72" s="32">
        <f t="shared" si="15"/>
        <v>525</v>
      </c>
      <c r="F72" s="32">
        <f t="shared" si="15"/>
        <v>665.0000000000001</v>
      </c>
      <c r="G72" s="32">
        <f t="shared" si="15"/>
        <v>770.0000000000001</v>
      </c>
      <c r="H72" s="32">
        <f t="shared" si="15"/>
        <v>1015.0000000000001</v>
      </c>
      <c r="I72" s="32">
        <f t="shared" si="15"/>
        <v>945.0000000000001</v>
      </c>
      <c r="J72" s="32">
        <f t="shared" si="15"/>
        <v>1085</v>
      </c>
      <c r="K72" s="32">
        <f t="shared" si="15"/>
        <v>1180.0000000000002</v>
      </c>
      <c r="L72" s="32">
        <f t="shared" si="15"/>
        <v>1275</v>
      </c>
      <c r="M72" s="32">
        <f t="shared" si="15"/>
        <v>1370</v>
      </c>
      <c r="N72" s="32">
        <f t="shared" si="15"/>
        <v>1465</v>
      </c>
      <c r="O72" s="32">
        <f t="shared" si="15"/>
        <v>1560</v>
      </c>
    </row>
    <row r="73" spans="1:15" ht="12">
      <c r="A73" s="35" t="s">
        <v>21</v>
      </c>
      <c r="B73" s="35"/>
      <c r="C73" s="32">
        <f>SUM(D73:O73)</f>
        <v>37867</v>
      </c>
      <c r="D73" s="32">
        <f>ROUND(D$31,0)</f>
        <v>3527</v>
      </c>
      <c r="E73" s="32">
        <f aca="true" t="shared" si="16" ref="E73:O73">ROUND(E$31,0)</f>
        <v>3136</v>
      </c>
      <c r="F73" s="32">
        <f t="shared" si="16"/>
        <v>2968</v>
      </c>
      <c r="G73" s="32">
        <f t="shared" si="16"/>
        <v>3054</v>
      </c>
      <c r="H73" s="32">
        <f t="shared" si="16"/>
        <v>3154</v>
      </c>
      <c r="I73" s="32">
        <f t="shared" si="16"/>
        <v>3370</v>
      </c>
      <c r="J73" s="32">
        <f t="shared" si="16"/>
        <v>3259</v>
      </c>
      <c r="K73" s="32">
        <f t="shared" si="16"/>
        <v>3157</v>
      </c>
      <c r="L73" s="32">
        <f t="shared" si="16"/>
        <v>3015</v>
      </c>
      <c r="M73" s="32">
        <f t="shared" si="16"/>
        <v>2988</v>
      </c>
      <c r="N73" s="32">
        <f t="shared" si="16"/>
        <v>3070</v>
      </c>
      <c r="O73" s="32">
        <f t="shared" si="16"/>
        <v>3169</v>
      </c>
    </row>
    <row r="74" spans="1:15" ht="12">
      <c r="A74" s="35" t="s">
        <v>29</v>
      </c>
      <c r="B74" s="35"/>
      <c r="C74" s="32">
        <f>SUM(D74:O74)</f>
        <v>24900</v>
      </c>
      <c r="D74" s="32">
        <f aca="true" t="shared" si="17" ref="D74:O74">SUM($E$45:$E$47)</f>
        <v>2075</v>
      </c>
      <c r="E74" s="32">
        <f t="shared" si="17"/>
        <v>2075</v>
      </c>
      <c r="F74" s="32">
        <f t="shared" si="17"/>
        <v>2075</v>
      </c>
      <c r="G74" s="32">
        <f t="shared" si="17"/>
        <v>2075</v>
      </c>
      <c r="H74" s="32">
        <f t="shared" si="17"/>
        <v>2075</v>
      </c>
      <c r="I74" s="32">
        <f t="shared" si="17"/>
        <v>2075</v>
      </c>
      <c r="J74" s="32">
        <f t="shared" si="17"/>
        <v>2075</v>
      </c>
      <c r="K74" s="32">
        <f t="shared" si="17"/>
        <v>2075</v>
      </c>
      <c r="L74" s="32">
        <f t="shared" si="17"/>
        <v>2075</v>
      </c>
      <c r="M74" s="32">
        <f t="shared" si="17"/>
        <v>2075</v>
      </c>
      <c r="N74" s="32">
        <f t="shared" si="17"/>
        <v>2075</v>
      </c>
      <c r="O74" s="32">
        <f t="shared" si="17"/>
        <v>2075</v>
      </c>
    </row>
    <row r="75" spans="1:15" ht="12">
      <c r="A75" s="10" t="s">
        <v>35</v>
      </c>
      <c r="B75" s="10"/>
      <c r="C75" s="24">
        <f>SUM(D75:O75)</f>
        <v>5249.263468990812</v>
      </c>
      <c r="D75" s="24">
        <f>IPMT($B$62/12,25,$B$63,$B$64,$B$65,1)*-1</f>
        <v>501.20254628898505</v>
      </c>
      <c r="E75" s="24">
        <f>IPMT($B$62/12,26,$B$63,$B$64,$B$65,1)*-1</f>
        <v>489.89816601908757</v>
      </c>
      <c r="F75" s="24">
        <f>IPMT($B$62/12,27,$B$63,$B$64,$B$65,1)*-1</f>
        <v>478.5085318813212</v>
      </c>
      <c r="G75" s="24">
        <f>IPMT($B$62/12,28,$B$63,$B$64,$B$65,1)*-1</f>
        <v>467.0330009194327</v>
      </c>
      <c r="H75" s="24">
        <f>IPMT($B$62/12,29,$B$63,$B$64,$B$65,1)*-1</f>
        <v>455.47092532820665</v>
      </c>
      <c r="I75" s="24">
        <f>IPMT($B$62/12,30,$B$63,$B$64,$B$65,1)*-1</f>
        <v>443.8216524168968</v>
      </c>
      <c r="J75" s="24">
        <f>IPMT($B$62/12,31,$B$63,$B$64,$B$65,1)*-1</f>
        <v>432.0845245723807</v>
      </c>
      <c r="K75" s="24">
        <f>IPMT($B$62/12,32,$B$63,$B$64,$B$65,1)*-1</f>
        <v>420.25887922203685</v>
      </c>
      <c r="L75" s="24">
        <f>IPMT($B$62/12,33,$B$63,$B$64,$B$65,1)*-1</f>
        <v>408.3440487963435</v>
      </c>
      <c r="M75" s="24">
        <f>IPMT($B$62/12,34,$B$63,$B$64,$B$65,1)*-1</f>
        <v>396.3393606911888</v>
      </c>
      <c r="N75" s="24">
        <f>IPMT($B$62/12,35,$B$63,$B$64,$B$65,1)*-1</f>
        <v>384.24413722990795</v>
      </c>
      <c r="O75" s="24">
        <f>IPMT($B$62/12,36,$B$63,$B$64,$B$65,1)*-1</f>
        <v>372.0576956250232</v>
      </c>
    </row>
    <row r="77" ht="12">
      <c r="A77" s="1" t="s">
        <v>49</v>
      </c>
    </row>
    <row r="78" s="52" customFormat="1" ht="12"/>
    <row r="79" spans="1:15" s="52" customFormat="1" ht="24">
      <c r="A79" s="53"/>
      <c r="B79" s="53" t="s">
        <v>19</v>
      </c>
      <c r="C79" s="53" t="s">
        <v>0</v>
      </c>
      <c r="D79" s="53" t="s">
        <v>1</v>
      </c>
      <c r="E79" s="53" t="s">
        <v>2</v>
      </c>
      <c r="F79" s="53" t="s">
        <v>3</v>
      </c>
      <c r="G79" s="53" t="s">
        <v>4</v>
      </c>
      <c r="H79" s="53" t="s">
        <v>5</v>
      </c>
      <c r="I79" s="53" t="s">
        <v>6</v>
      </c>
      <c r="J79" s="53" t="s">
        <v>7</v>
      </c>
      <c r="K79" s="53" t="s">
        <v>8</v>
      </c>
      <c r="L79" s="53" t="s">
        <v>9</v>
      </c>
      <c r="M79" s="53" t="s">
        <v>10</v>
      </c>
      <c r="N79" s="53" t="s">
        <v>11</v>
      </c>
      <c r="O79" s="53" t="s">
        <v>12</v>
      </c>
    </row>
    <row r="80" spans="1:15" s="52" customFormat="1" ht="12">
      <c r="A80" s="54" t="s">
        <v>13</v>
      </c>
      <c r="B80" s="54"/>
      <c r="C80" s="55">
        <f>SUM(D80:O80)</f>
        <v>177857</v>
      </c>
      <c r="D80" s="55">
        <f>ROUND(B6,0)</f>
        <v>8500</v>
      </c>
      <c r="E80" s="55">
        <f aca="true" t="shared" si="18" ref="E80:O80">ROUND(C6,0)</f>
        <v>7500</v>
      </c>
      <c r="F80" s="55">
        <f t="shared" si="18"/>
        <v>9500</v>
      </c>
      <c r="G80" s="55">
        <f t="shared" si="18"/>
        <v>11000</v>
      </c>
      <c r="H80" s="55">
        <f t="shared" si="18"/>
        <v>14500</v>
      </c>
      <c r="I80" s="55">
        <f t="shared" si="18"/>
        <v>13500</v>
      </c>
      <c r="J80" s="55">
        <f t="shared" si="18"/>
        <v>15500</v>
      </c>
      <c r="K80" s="55">
        <f t="shared" si="18"/>
        <v>16857</v>
      </c>
      <c r="L80" s="55">
        <f t="shared" si="18"/>
        <v>18214</v>
      </c>
      <c r="M80" s="55">
        <f t="shared" si="18"/>
        <v>19571</v>
      </c>
      <c r="N80" s="55">
        <f t="shared" si="18"/>
        <v>20929</v>
      </c>
      <c r="O80" s="55">
        <f t="shared" si="18"/>
        <v>22286</v>
      </c>
    </row>
    <row r="81" spans="1:15" s="52" customFormat="1" ht="12">
      <c r="A81" s="56" t="s">
        <v>41</v>
      </c>
      <c r="B81" s="56"/>
      <c r="C81" s="57">
        <f>SUM(C80:C80)</f>
        <v>177857</v>
      </c>
      <c r="D81" s="57">
        <f aca="true" t="shared" si="19" ref="D81:O81">SUM(D80:D80)</f>
        <v>8500</v>
      </c>
      <c r="E81" s="57">
        <f t="shared" si="19"/>
        <v>7500</v>
      </c>
      <c r="F81" s="57">
        <f t="shared" si="19"/>
        <v>9500</v>
      </c>
      <c r="G81" s="57">
        <f t="shared" si="19"/>
        <v>11000</v>
      </c>
      <c r="H81" s="57">
        <f t="shared" si="19"/>
        <v>14500</v>
      </c>
      <c r="I81" s="57">
        <f t="shared" si="19"/>
        <v>13500</v>
      </c>
      <c r="J81" s="57">
        <f t="shared" si="19"/>
        <v>15500</v>
      </c>
      <c r="K81" s="57">
        <f t="shared" si="19"/>
        <v>16857</v>
      </c>
      <c r="L81" s="57">
        <f t="shared" si="19"/>
        <v>18214</v>
      </c>
      <c r="M81" s="57">
        <f t="shared" si="19"/>
        <v>19571</v>
      </c>
      <c r="N81" s="57">
        <f t="shared" si="19"/>
        <v>20929</v>
      </c>
      <c r="O81" s="57">
        <f t="shared" si="19"/>
        <v>22286</v>
      </c>
    </row>
    <row r="82" spans="1:15" s="52" customFormat="1" ht="12">
      <c r="A82" s="58"/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52" customFormat="1" ht="12">
      <c r="A83" s="60" t="s">
        <v>39</v>
      </c>
      <c r="B83" s="60"/>
      <c r="C83" s="61">
        <f>SUM(C84:C86)</f>
        <v>83592.85714285713</v>
      </c>
      <c r="D83" s="61">
        <f aca="true" t="shared" si="20" ref="D83:O83">SUM(D84:D86)</f>
        <v>3995</v>
      </c>
      <c r="E83" s="61">
        <f t="shared" si="20"/>
        <v>3525</v>
      </c>
      <c r="F83" s="61">
        <f t="shared" si="20"/>
        <v>4465</v>
      </c>
      <c r="G83" s="61">
        <f t="shared" si="20"/>
        <v>5170</v>
      </c>
      <c r="H83" s="61">
        <f t="shared" si="20"/>
        <v>6815</v>
      </c>
      <c r="I83" s="61">
        <f t="shared" si="20"/>
        <v>6345</v>
      </c>
      <c r="J83" s="61">
        <f t="shared" si="20"/>
        <v>7285</v>
      </c>
      <c r="K83" s="61">
        <f t="shared" si="20"/>
        <v>7922.857142857144</v>
      </c>
      <c r="L83" s="61">
        <f t="shared" si="20"/>
        <v>8560.714285714286</v>
      </c>
      <c r="M83" s="61">
        <f t="shared" si="20"/>
        <v>9198.571428571428</v>
      </c>
      <c r="N83" s="61">
        <f t="shared" si="20"/>
        <v>9836.42857142857</v>
      </c>
      <c r="O83" s="61">
        <f t="shared" si="20"/>
        <v>10474.285714285714</v>
      </c>
    </row>
    <row r="84" spans="1:15" s="52" customFormat="1" ht="12" hidden="1" outlineLevel="1">
      <c r="A84" s="62" t="s">
        <v>16</v>
      </c>
      <c r="B84" s="63">
        <v>3</v>
      </c>
      <c r="C84" s="61">
        <f>C$22*INDEX($B$16:$B$19,$B84,1)</f>
        <v>53357.14285714285</v>
      </c>
      <c r="D84" s="61">
        <f aca="true" t="shared" si="21" ref="D84:O84">D$22*INDEX($B$16:$B$19,$B84,1)</f>
        <v>2550</v>
      </c>
      <c r="E84" s="61">
        <f t="shared" si="21"/>
        <v>2250</v>
      </c>
      <c r="F84" s="61">
        <f t="shared" si="21"/>
        <v>2850</v>
      </c>
      <c r="G84" s="61">
        <f t="shared" si="21"/>
        <v>3300</v>
      </c>
      <c r="H84" s="61">
        <f t="shared" si="21"/>
        <v>4350</v>
      </c>
      <c r="I84" s="61">
        <f t="shared" si="21"/>
        <v>4050</v>
      </c>
      <c r="J84" s="61">
        <f t="shared" si="21"/>
        <v>4650</v>
      </c>
      <c r="K84" s="61">
        <f t="shared" si="21"/>
        <v>5057.142857142858</v>
      </c>
      <c r="L84" s="61">
        <f t="shared" si="21"/>
        <v>5464.285714285714</v>
      </c>
      <c r="M84" s="61">
        <f t="shared" si="21"/>
        <v>5871.428571428571</v>
      </c>
      <c r="N84" s="61">
        <f t="shared" si="21"/>
        <v>6278.571428571428</v>
      </c>
      <c r="O84" s="61">
        <f t="shared" si="21"/>
        <v>6685.714285714284</v>
      </c>
    </row>
    <row r="85" spans="1:15" s="52" customFormat="1" ht="12" hidden="1" outlineLevel="1">
      <c r="A85" s="62" t="s">
        <v>17</v>
      </c>
      <c r="B85" s="63">
        <v>1</v>
      </c>
      <c r="C85" s="61">
        <f aca="true" t="shared" si="22" ref="C85:O86">C$22*INDEX($B$16:$B$19,$B85,1)</f>
        <v>17785.714285714286</v>
      </c>
      <c r="D85" s="61">
        <f t="shared" si="22"/>
        <v>850</v>
      </c>
      <c r="E85" s="61">
        <f t="shared" si="22"/>
        <v>750</v>
      </c>
      <c r="F85" s="61">
        <f t="shared" si="22"/>
        <v>950</v>
      </c>
      <c r="G85" s="61">
        <f t="shared" si="22"/>
        <v>1100</v>
      </c>
      <c r="H85" s="61">
        <f t="shared" si="22"/>
        <v>1450</v>
      </c>
      <c r="I85" s="61">
        <f t="shared" si="22"/>
        <v>1350</v>
      </c>
      <c r="J85" s="61">
        <f t="shared" si="22"/>
        <v>1550</v>
      </c>
      <c r="K85" s="61">
        <f t="shared" si="22"/>
        <v>1685.714285714286</v>
      </c>
      <c r="L85" s="61">
        <f t="shared" si="22"/>
        <v>1821.4285714285716</v>
      </c>
      <c r="M85" s="61">
        <f t="shared" si="22"/>
        <v>1957.1428571428569</v>
      </c>
      <c r="N85" s="61">
        <f t="shared" si="22"/>
        <v>2092.8571428571427</v>
      </c>
      <c r="O85" s="61">
        <f t="shared" si="22"/>
        <v>2228.5714285714284</v>
      </c>
    </row>
    <row r="86" spans="1:15" s="52" customFormat="1" ht="12" hidden="1" outlineLevel="1">
      <c r="A86" s="62" t="s">
        <v>18</v>
      </c>
      <c r="B86" s="63">
        <v>4</v>
      </c>
      <c r="C86" s="61">
        <f t="shared" si="22"/>
        <v>12450</v>
      </c>
      <c r="D86" s="61">
        <f t="shared" si="22"/>
        <v>595</v>
      </c>
      <c r="E86" s="61">
        <f t="shared" si="22"/>
        <v>525</v>
      </c>
      <c r="F86" s="61">
        <f t="shared" si="22"/>
        <v>665.0000000000001</v>
      </c>
      <c r="G86" s="61">
        <f t="shared" si="22"/>
        <v>770.0000000000001</v>
      </c>
      <c r="H86" s="61">
        <f t="shared" si="22"/>
        <v>1015.0000000000001</v>
      </c>
      <c r="I86" s="61">
        <f t="shared" si="22"/>
        <v>945.0000000000001</v>
      </c>
      <c r="J86" s="61">
        <f t="shared" si="22"/>
        <v>1085</v>
      </c>
      <c r="K86" s="61">
        <f t="shared" si="22"/>
        <v>1180.0000000000002</v>
      </c>
      <c r="L86" s="61">
        <f t="shared" si="22"/>
        <v>1275</v>
      </c>
      <c r="M86" s="61">
        <f t="shared" si="22"/>
        <v>1370</v>
      </c>
      <c r="N86" s="61">
        <f t="shared" si="22"/>
        <v>1465</v>
      </c>
      <c r="O86" s="61">
        <f t="shared" si="22"/>
        <v>1560</v>
      </c>
    </row>
    <row r="87" spans="1:15" s="52" customFormat="1" ht="12" collapsed="1">
      <c r="A87" s="60" t="s">
        <v>21</v>
      </c>
      <c r="B87" s="60"/>
      <c r="C87" s="61">
        <f>SUM(D87:O87)</f>
        <v>37867</v>
      </c>
      <c r="D87" s="61">
        <f>ROUND(D$31,0)</f>
        <v>3527</v>
      </c>
      <c r="E87" s="61">
        <f aca="true" t="shared" si="23" ref="E87:O87">ROUND(E$31,0)</f>
        <v>3136</v>
      </c>
      <c r="F87" s="61">
        <f t="shared" si="23"/>
        <v>2968</v>
      </c>
      <c r="G87" s="61">
        <f t="shared" si="23"/>
        <v>3054</v>
      </c>
      <c r="H87" s="61">
        <f t="shared" si="23"/>
        <v>3154</v>
      </c>
      <c r="I87" s="61">
        <f t="shared" si="23"/>
        <v>3370</v>
      </c>
      <c r="J87" s="61">
        <f t="shared" si="23"/>
        <v>3259</v>
      </c>
      <c r="K87" s="61">
        <f t="shared" si="23"/>
        <v>3157</v>
      </c>
      <c r="L87" s="61">
        <f t="shared" si="23"/>
        <v>3015</v>
      </c>
      <c r="M87" s="61">
        <f t="shared" si="23"/>
        <v>2988</v>
      </c>
      <c r="N87" s="61">
        <f t="shared" si="23"/>
        <v>3070</v>
      </c>
      <c r="O87" s="61">
        <f t="shared" si="23"/>
        <v>3169</v>
      </c>
    </row>
    <row r="88" spans="1:15" s="52" customFormat="1" ht="12">
      <c r="A88" s="64" t="s">
        <v>29</v>
      </c>
      <c r="B88" s="64"/>
      <c r="C88" s="65">
        <f>SUM(D88:O88)</f>
        <v>24900</v>
      </c>
      <c r="D88" s="65">
        <f aca="true" t="shared" si="24" ref="D88:O88">SUM($E$45:$E$47)</f>
        <v>2075</v>
      </c>
      <c r="E88" s="65">
        <f t="shared" si="24"/>
        <v>2075</v>
      </c>
      <c r="F88" s="65">
        <f t="shared" si="24"/>
        <v>2075</v>
      </c>
      <c r="G88" s="65">
        <f t="shared" si="24"/>
        <v>2075</v>
      </c>
      <c r="H88" s="65">
        <f t="shared" si="24"/>
        <v>2075</v>
      </c>
      <c r="I88" s="65">
        <f t="shared" si="24"/>
        <v>2075</v>
      </c>
      <c r="J88" s="65">
        <f t="shared" si="24"/>
        <v>2075</v>
      </c>
      <c r="K88" s="65">
        <f t="shared" si="24"/>
        <v>2075</v>
      </c>
      <c r="L88" s="65">
        <f t="shared" si="24"/>
        <v>2075</v>
      </c>
      <c r="M88" s="65">
        <f t="shared" si="24"/>
        <v>2075</v>
      </c>
      <c r="N88" s="65">
        <f t="shared" si="24"/>
        <v>2075</v>
      </c>
      <c r="O88" s="65">
        <f t="shared" si="24"/>
        <v>2075</v>
      </c>
    </row>
    <row r="89" spans="1:15" s="52" customFormat="1" ht="12">
      <c r="A89" s="56" t="s">
        <v>42</v>
      </c>
      <c r="B89" s="56"/>
      <c r="C89" s="57">
        <f>SUM(C84:C88)</f>
        <v>146359.85714285713</v>
      </c>
      <c r="D89" s="57">
        <f aca="true" t="shared" si="25" ref="D89:O89">SUM(D84:D88)</f>
        <v>9597</v>
      </c>
      <c r="E89" s="57">
        <f t="shared" si="25"/>
        <v>8736</v>
      </c>
      <c r="F89" s="57">
        <f t="shared" si="25"/>
        <v>9508</v>
      </c>
      <c r="G89" s="57">
        <f t="shared" si="25"/>
        <v>10299</v>
      </c>
      <c r="H89" s="57">
        <f t="shared" si="25"/>
        <v>12044</v>
      </c>
      <c r="I89" s="57">
        <f t="shared" si="25"/>
        <v>11790</v>
      </c>
      <c r="J89" s="57">
        <f t="shared" si="25"/>
        <v>12619</v>
      </c>
      <c r="K89" s="57">
        <f t="shared" si="25"/>
        <v>13154.857142857145</v>
      </c>
      <c r="L89" s="57">
        <f t="shared" si="25"/>
        <v>13650.714285714286</v>
      </c>
      <c r="M89" s="57">
        <f t="shared" si="25"/>
        <v>14261.571428571428</v>
      </c>
      <c r="N89" s="57">
        <f t="shared" si="25"/>
        <v>14981.42857142857</v>
      </c>
      <c r="O89" s="57">
        <f t="shared" si="25"/>
        <v>15718.285714285714</v>
      </c>
    </row>
    <row r="90" spans="1:15" s="52" customFormat="1" ht="12">
      <c r="A90" s="54"/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s="52" customFormat="1" ht="12">
      <c r="A91" s="66" t="s">
        <v>43</v>
      </c>
      <c r="B91" s="66"/>
      <c r="C91" s="67">
        <f>C81-C89</f>
        <v>31497.14285714287</v>
      </c>
      <c r="D91" s="67">
        <f aca="true" t="shared" si="26" ref="D91:O91">D81-D89</f>
        <v>-1097</v>
      </c>
      <c r="E91" s="67">
        <f t="shared" si="26"/>
        <v>-1236</v>
      </c>
      <c r="F91" s="67">
        <f t="shared" si="26"/>
        <v>-8</v>
      </c>
      <c r="G91" s="67">
        <f t="shared" si="26"/>
        <v>701</v>
      </c>
      <c r="H91" s="67">
        <f t="shared" si="26"/>
        <v>2456</v>
      </c>
      <c r="I91" s="67">
        <f t="shared" si="26"/>
        <v>1710</v>
      </c>
      <c r="J91" s="67">
        <f t="shared" si="26"/>
        <v>2881</v>
      </c>
      <c r="K91" s="67">
        <f t="shared" si="26"/>
        <v>3702.142857142855</v>
      </c>
      <c r="L91" s="67">
        <f t="shared" si="26"/>
        <v>4563.285714285714</v>
      </c>
      <c r="M91" s="67">
        <f t="shared" si="26"/>
        <v>5309.4285714285725</v>
      </c>
      <c r="N91" s="67">
        <f t="shared" si="26"/>
        <v>5947.571428571429</v>
      </c>
      <c r="O91" s="67">
        <f t="shared" si="26"/>
        <v>6567.714285714286</v>
      </c>
    </row>
    <row r="92" spans="1:15" s="52" customFormat="1" ht="12">
      <c r="A92" s="58"/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15" s="52" customFormat="1" ht="12">
      <c r="A93" s="64" t="s">
        <v>35</v>
      </c>
      <c r="B93" s="64"/>
      <c r="C93" s="65">
        <f>SUM(D93:O93)</f>
        <v>5249.263468990812</v>
      </c>
      <c r="D93" s="65">
        <f>IPMT($B$62/12,25,$B$63,$B$64,$B$65,1)*-1</f>
        <v>501.20254628898505</v>
      </c>
      <c r="E93" s="65">
        <f>IPMT($B$62/12,26,$B$63,$B$64,$B$65,1)*-1</f>
        <v>489.89816601908757</v>
      </c>
      <c r="F93" s="65">
        <f>IPMT($B$62/12,27,$B$63,$B$64,$B$65,1)*-1</f>
        <v>478.5085318813212</v>
      </c>
      <c r="G93" s="65">
        <f>IPMT($B$62/12,28,$B$63,$B$64,$B$65,1)*-1</f>
        <v>467.0330009194327</v>
      </c>
      <c r="H93" s="65">
        <f>IPMT($B$62/12,29,$B$63,$B$64,$B$65,1)*-1</f>
        <v>455.47092532820665</v>
      </c>
      <c r="I93" s="65">
        <f>IPMT($B$62/12,30,$B$63,$B$64,$B$65,1)*-1</f>
        <v>443.8216524168968</v>
      </c>
      <c r="J93" s="65">
        <f>IPMT($B$62/12,31,$B$63,$B$64,$B$65,1)*-1</f>
        <v>432.0845245723807</v>
      </c>
      <c r="K93" s="65">
        <f>IPMT($B$62/12,32,$B$63,$B$64,$B$65,1)*-1</f>
        <v>420.25887922203685</v>
      </c>
      <c r="L93" s="65">
        <f>IPMT($B$62/12,33,$B$63,$B$64,$B$65,1)*-1</f>
        <v>408.3440487963435</v>
      </c>
      <c r="M93" s="65">
        <f>IPMT($B$62/12,34,$B$63,$B$64,$B$65,1)*-1</f>
        <v>396.3393606911888</v>
      </c>
      <c r="N93" s="65">
        <f>IPMT($B$62/12,35,$B$63,$B$64,$B$65,1)*-1</f>
        <v>384.24413722990795</v>
      </c>
      <c r="O93" s="65">
        <f>IPMT($B$62/12,36,$B$63,$B$64,$B$65,1)*-1</f>
        <v>372.0576956250232</v>
      </c>
    </row>
    <row r="94" spans="1:15" s="52" customFormat="1" ht="12">
      <c r="A94" s="56" t="s">
        <v>36</v>
      </c>
      <c r="B94" s="56"/>
      <c r="C94" s="57">
        <f>0-C93</f>
        <v>-5249.263468990812</v>
      </c>
      <c r="D94" s="57">
        <f aca="true" t="shared" si="27" ref="D94:O94">0-D93</f>
        <v>-501.20254628898505</v>
      </c>
      <c r="E94" s="57">
        <f t="shared" si="27"/>
        <v>-489.89816601908757</v>
      </c>
      <c r="F94" s="57">
        <f t="shared" si="27"/>
        <v>-478.5085318813212</v>
      </c>
      <c r="G94" s="57">
        <f t="shared" si="27"/>
        <v>-467.0330009194327</v>
      </c>
      <c r="H94" s="57">
        <f t="shared" si="27"/>
        <v>-455.47092532820665</v>
      </c>
      <c r="I94" s="57">
        <f t="shared" si="27"/>
        <v>-443.8216524168968</v>
      </c>
      <c r="J94" s="57">
        <f t="shared" si="27"/>
        <v>-432.0845245723807</v>
      </c>
      <c r="K94" s="57">
        <f t="shared" si="27"/>
        <v>-420.25887922203685</v>
      </c>
      <c r="L94" s="57">
        <f t="shared" si="27"/>
        <v>-408.3440487963435</v>
      </c>
      <c r="M94" s="57">
        <f t="shared" si="27"/>
        <v>-396.3393606911888</v>
      </c>
      <c r="N94" s="57">
        <f t="shared" si="27"/>
        <v>-384.24413722990795</v>
      </c>
      <c r="O94" s="57">
        <f t="shared" si="27"/>
        <v>-372.0576956250232</v>
      </c>
    </row>
    <row r="95" spans="1:15" s="52" customFormat="1" ht="12">
      <c r="A95" s="54"/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s="52" customFormat="1" ht="24">
      <c r="A96" s="66" t="s">
        <v>37</v>
      </c>
      <c r="B96" s="66"/>
      <c r="C96" s="67">
        <f>C91+C94</f>
        <v>26247.879388152058</v>
      </c>
      <c r="D96" s="67">
        <f aca="true" t="shared" si="28" ref="D96:O96">D91+D94</f>
        <v>-1598.202546288985</v>
      </c>
      <c r="E96" s="67">
        <f t="shared" si="28"/>
        <v>-1725.8981660190875</v>
      </c>
      <c r="F96" s="67">
        <f t="shared" si="28"/>
        <v>-486.5085318813212</v>
      </c>
      <c r="G96" s="67">
        <f t="shared" si="28"/>
        <v>233.9669990805673</v>
      </c>
      <c r="H96" s="67">
        <f t="shared" si="28"/>
        <v>2000.5290746717933</v>
      </c>
      <c r="I96" s="67">
        <f t="shared" si="28"/>
        <v>1266.1783475831032</v>
      </c>
      <c r="J96" s="67">
        <f t="shared" si="28"/>
        <v>2448.915475427619</v>
      </c>
      <c r="K96" s="67">
        <f t="shared" si="28"/>
        <v>3281.8839779208183</v>
      </c>
      <c r="L96" s="67">
        <f t="shared" si="28"/>
        <v>4154.94166548937</v>
      </c>
      <c r="M96" s="67">
        <f t="shared" si="28"/>
        <v>4913.089210737384</v>
      </c>
      <c r="N96" s="67">
        <f t="shared" si="28"/>
        <v>5563.327291341521</v>
      </c>
      <c r="O96" s="67">
        <f t="shared" si="28"/>
        <v>6195.656590089263</v>
      </c>
    </row>
    <row r="97" spans="1:15" s="52" customFormat="1" ht="12">
      <c r="A97" s="68"/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1:15" s="52" customFormat="1" ht="12.75" thickBot="1">
      <c r="A98" s="70" t="s">
        <v>38</v>
      </c>
      <c r="B98" s="70"/>
      <c r="C98" s="71">
        <f>C96</f>
        <v>26247.879388152058</v>
      </c>
      <c r="D98" s="71">
        <f aca="true" t="shared" si="29" ref="D98:O98">D96</f>
        <v>-1598.202546288985</v>
      </c>
      <c r="E98" s="71">
        <f t="shared" si="29"/>
        <v>-1725.8981660190875</v>
      </c>
      <c r="F98" s="71">
        <f t="shared" si="29"/>
        <v>-486.5085318813212</v>
      </c>
      <c r="G98" s="71">
        <f t="shared" si="29"/>
        <v>233.9669990805673</v>
      </c>
      <c r="H98" s="71">
        <f t="shared" si="29"/>
        <v>2000.5290746717933</v>
      </c>
      <c r="I98" s="71">
        <f t="shared" si="29"/>
        <v>1266.1783475831032</v>
      </c>
      <c r="J98" s="71">
        <f t="shared" si="29"/>
        <v>2448.915475427619</v>
      </c>
      <c r="K98" s="71">
        <f t="shared" si="29"/>
        <v>3281.8839779208183</v>
      </c>
      <c r="L98" s="71">
        <f t="shared" si="29"/>
        <v>4154.94166548937</v>
      </c>
      <c r="M98" s="71">
        <f t="shared" si="29"/>
        <v>4913.089210737384</v>
      </c>
      <c r="N98" s="71">
        <f t="shared" si="29"/>
        <v>5563.327291341521</v>
      </c>
      <c r="O98" s="71">
        <f t="shared" si="29"/>
        <v>6195.656590089263</v>
      </c>
    </row>
    <row r="99" ht="12.75" thickTop="1"/>
    <row r="100" ht="12">
      <c r="A100" s="1" t="s">
        <v>54</v>
      </c>
    </row>
    <row r="102" spans="1:15" ht="12">
      <c r="A102" s="3"/>
      <c r="B102" s="3" t="s">
        <v>19</v>
      </c>
      <c r="C102" s="3" t="s">
        <v>0</v>
      </c>
      <c r="D102" s="3" t="s">
        <v>1</v>
      </c>
      <c r="E102" s="3" t="s">
        <v>2</v>
      </c>
      <c r="F102" s="3" t="s">
        <v>3</v>
      </c>
      <c r="G102" s="3" t="s">
        <v>4</v>
      </c>
      <c r="H102" s="3" t="s">
        <v>5</v>
      </c>
      <c r="I102" s="3" t="s">
        <v>6</v>
      </c>
      <c r="J102" s="3" t="s">
        <v>7</v>
      </c>
      <c r="K102" s="3" t="s">
        <v>8</v>
      </c>
      <c r="L102" s="3" t="s">
        <v>9</v>
      </c>
      <c r="M102" s="3" t="s">
        <v>10</v>
      </c>
      <c r="N102" s="3" t="s">
        <v>11</v>
      </c>
      <c r="O102" s="3" t="s">
        <v>12</v>
      </c>
    </row>
    <row r="103" spans="1:15" ht="12">
      <c r="A103" s="41" t="s">
        <v>13</v>
      </c>
      <c r="B103" s="42"/>
      <c r="C103" s="43">
        <f>SUM(D103:O103)</f>
        <v>177857</v>
      </c>
      <c r="D103" s="43">
        <v>8500</v>
      </c>
      <c r="E103" s="43">
        <v>7500</v>
      </c>
      <c r="F103" s="43">
        <v>9500</v>
      </c>
      <c r="G103" s="43">
        <v>11000</v>
      </c>
      <c r="H103" s="43">
        <v>14500</v>
      </c>
      <c r="I103" s="43">
        <v>13500</v>
      </c>
      <c r="J103" s="43">
        <v>15500</v>
      </c>
      <c r="K103" s="43">
        <v>16857</v>
      </c>
      <c r="L103" s="43">
        <v>18214</v>
      </c>
      <c r="M103" s="43">
        <v>19571</v>
      </c>
      <c r="N103" s="43">
        <v>20929</v>
      </c>
      <c r="O103" s="43">
        <v>22286</v>
      </c>
    </row>
    <row r="104" spans="1:15" ht="12">
      <c r="A104" s="44" t="s">
        <v>41</v>
      </c>
      <c r="B104" s="45"/>
      <c r="C104" s="46">
        <f aca="true" t="shared" si="30" ref="C104:O104">SUM(C103:C103)</f>
        <v>177857</v>
      </c>
      <c r="D104" s="46">
        <f t="shared" si="30"/>
        <v>8500</v>
      </c>
      <c r="E104" s="46">
        <f t="shared" si="30"/>
        <v>7500</v>
      </c>
      <c r="F104" s="46">
        <f t="shared" si="30"/>
        <v>9500</v>
      </c>
      <c r="G104" s="46">
        <f t="shared" si="30"/>
        <v>11000</v>
      </c>
      <c r="H104" s="46">
        <f t="shared" si="30"/>
        <v>14500</v>
      </c>
      <c r="I104" s="46">
        <f t="shared" si="30"/>
        <v>13500</v>
      </c>
      <c r="J104" s="46">
        <f t="shared" si="30"/>
        <v>15500</v>
      </c>
      <c r="K104" s="46">
        <f t="shared" si="30"/>
        <v>16857</v>
      </c>
      <c r="L104" s="46">
        <f t="shared" si="30"/>
        <v>18214</v>
      </c>
      <c r="M104" s="46">
        <f t="shared" si="30"/>
        <v>19571</v>
      </c>
      <c r="N104" s="46">
        <f t="shared" si="30"/>
        <v>20929</v>
      </c>
      <c r="O104" s="46">
        <f t="shared" si="30"/>
        <v>22286</v>
      </c>
    </row>
    <row r="105" spans="1:15" ht="12">
      <c r="A105" s="6"/>
      <c r="B105" s="4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2">
      <c r="A106" s="8" t="s">
        <v>39</v>
      </c>
      <c r="B106" s="15"/>
      <c r="C106" s="21">
        <f>SUM(C107:C109)</f>
        <v>83592.85714285713</v>
      </c>
      <c r="D106" s="21">
        <f aca="true" t="shared" si="31" ref="D106:O106">SUM(D107:D109)</f>
        <v>3995</v>
      </c>
      <c r="E106" s="21">
        <f t="shared" si="31"/>
        <v>3525</v>
      </c>
      <c r="F106" s="21">
        <f t="shared" si="31"/>
        <v>4465</v>
      </c>
      <c r="G106" s="21">
        <f t="shared" si="31"/>
        <v>5170</v>
      </c>
      <c r="H106" s="21">
        <f t="shared" si="31"/>
        <v>6815</v>
      </c>
      <c r="I106" s="21">
        <f t="shared" si="31"/>
        <v>6345</v>
      </c>
      <c r="J106" s="21">
        <f t="shared" si="31"/>
        <v>7285</v>
      </c>
      <c r="K106" s="21">
        <f t="shared" si="31"/>
        <v>7922.857142857144</v>
      </c>
      <c r="L106" s="21">
        <f t="shared" si="31"/>
        <v>8560.714285714286</v>
      </c>
      <c r="M106" s="21">
        <f t="shared" si="31"/>
        <v>9198.571428571428</v>
      </c>
      <c r="N106" s="21">
        <f t="shared" si="31"/>
        <v>9836.42857142857</v>
      </c>
      <c r="O106" s="21">
        <f t="shared" si="31"/>
        <v>10474.285714285714</v>
      </c>
    </row>
    <row r="107" spans="1:15" ht="12">
      <c r="A107" s="19" t="s">
        <v>16</v>
      </c>
      <c r="B107" s="20">
        <v>3</v>
      </c>
      <c r="C107" s="21">
        <f>C$22*INDEX($B$16:$B$19,$B107,1)</f>
        <v>53357.14285714285</v>
      </c>
      <c r="D107" s="21">
        <f aca="true" t="shared" si="32" ref="D107:O107">D$22*INDEX($B$16:$B$19,$B107,1)</f>
        <v>2550</v>
      </c>
      <c r="E107" s="21">
        <f t="shared" si="32"/>
        <v>2250</v>
      </c>
      <c r="F107" s="21">
        <f t="shared" si="32"/>
        <v>2850</v>
      </c>
      <c r="G107" s="21">
        <f t="shared" si="32"/>
        <v>3300</v>
      </c>
      <c r="H107" s="21">
        <f t="shared" si="32"/>
        <v>4350</v>
      </c>
      <c r="I107" s="21">
        <f t="shared" si="32"/>
        <v>4050</v>
      </c>
      <c r="J107" s="21">
        <f t="shared" si="32"/>
        <v>4650</v>
      </c>
      <c r="K107" s="21">
        <f t="shared" si="32"/>
        <v>5057.142857142858</v>
      </c>
      <c r="L107" s="21">
        <f t="shared" si="32"/>
        <v>5464.285714285714</v>
      </c>
      <c r="M107" s="21">
        <f t="shared" si="32"/>
        <v>5871.428571428571</v>
      </c>
      <c r="N107" s="21">
        <f t="shared" si="32"/>
        <v>6278.571428571428</v>
      </c>
      <c r="O107" s="21">
        <f t="shared" si="32"/>
        <v>6685.714285714284</v>
      </c>
    </row>
    <row r="108" spans="1:15" ht="12">
      <c r="A108" s="19" t="s">
        <v>17</v>
      </c>
      <c r="B108" s="20">
        <v>1</v>
      </c>
      <c r="C108" s="21">
        <f aca="true" t="shared" si="33" ref="C108:O109">C$22*INDEX($B$16:$B$19,$B108,1)</f>
        <v>17785.714285714286</v>
      </c>
      <c r="D108" s="21">
        <f t="shared" si="33"/>
        <v>850</v>
      </c>
      <c r="E108" s="21">
        <f t="shared" si="33"/>
        <v>750</v>
      </c>
      <c r="F108" s="21">
        <f t="shared" si="33"/>
        <v>950</v>
      </c>
      <c r="G108" s="21">
        <f t="shared" si="33"/>
        <v>1100</v>
      </c>
      <c r="H108" s="21">
        <f t="shared" si="33"/>
        <v>1450</v>
      </c>
      <c r="I108" s="21">
        <f t="shared" si="33"/>
        <v>1350</v>
      </c>
      <c r="J108" s="21">
        <f t="shared" si="33"/>
        <v>1550</v>
      </c>
      <c r="K108" s="21">
        <f t="shared" si="33"/>
        <v>1685.714285714286</v>
      </c>
      <c r="L108" s="21">
        <f t="shared" si="33"/>
        <v>1821.4285714285716</v>
      </c>
      <c r="M108" s="21">
        <f t="shared" si="33"/>
        <v>1957.1428571428569</v>
      </c>
      <c r="N108" s="21">
        <f t="shared" si="33"/>
        <v>2092.8571428571427</v>
      </c>
      <c r="O108" s="21">
        <f t="shared" si="33"/>
        <v>2228.5714285714284</v>
      </c>
    </row>
    <row r="109" spans="1:15" ht="12">
      <c r="A109" s="19" t="s">
        <v>18</v>
      </c>
      <c r="B109" s="20">
        <v>4</v>
      </c>
      <c r="C109" s="21">
        <f t="shared" si="33"/>
        <v>12450</v>
      </c>
      <c r="D109" s="21">
        <f t="shared" si="33"/>
        <v>595</v>
      </c>
      <c r="E109" s="21">
        <f t="shared" si="33"/>
        <v>525</v>
      </c>
      <c r="F109" s="21">
        <f t="shared" si="33"/>
        <v>665.0000000000001</v>
      </c>
      <c r="G109" s="21">
        <f t="shared" si="33"/>
        <v>770.0000000000001</v>
      </c>
      <c r="H109" s="21">
        <f t="shared" si="33"/>
        <v>1015.0000000000001</v>
      </c>
      <c r="I109" s="21">
        <f t="shared" si="33"/>
        <v>945.0000000000001</v>
      </c>
      <c r="J109" s="21">
        <f t="shared" si="33"/>
        <v>1085</v>
      </c>
      <c r="K109" s="21">
        <f t="shared" si="33"/>
        <v>1180.0000000000002</v>
      </c>
      <c r="L109" s="21">
        <f t="shared" si="33"/>
        <v>1275</v>
      </c>
      <c r="M109" s="21">
        <f t="shared" si="33"/>
        <v>1370</v>
      </c>
      <c r="N109" s="21">
        <f t="shared" si="33"/>
        <v>1465</v>
      </c>
      <c r="O109" s="21">
        <f t="shared" si="33"/>
        <v>1560</v>
      </c>
    </row>
    <row r="110" spans="1:15" ht="12">
      <c r="A110" s="8" t="s">
        <v>21</v>
      </c>
      <c r="B110" s="8"/>
      <c r="C110" s="21">
        <f>SUM(D110:O110)</f>
        <v>37867</v>
      </c>
      <c r="D110" s="21">
        <f>ROUND(D$31,0)</f>
        <v>3527</v>
      </c>
      <c r="E110" s="21">
        <f aca="true" t="shared" si="34" ref="E110:O110">ROUND(E$31,0)</f>
        <v>3136</v>
      </c>
      <c r="F110" s="21">
        <f t="shared" si="34"/>
        <v>2968</v>
      </c>
      <c r="G110" s="21">
        <f t="shared" si="34"/>
        <v>3054</v>
      </c>
      <c r="H110" s="21">
        <f t="shared" si="34"/>
        <v>3154</v>
      </c>
      <c r="I110" s="21">
        <f t="shared" si="34"/>
        <v>3370</v>
      </c>
      <c r="J110" s="21">
        <f t="shared" si="34"/>
        <v>3259</v>
      </c>
      <c r="K110" s="21">
        <f t="shared" si="34"/>
        <v>3157</v>
      </c>
      <c r="L110" s="21">
        <f t="shared" si="34"/>
        <v>3015</v>
      </c>
      <c r="M110" s="21">
        <f t="shared" si="34"/>
        <v>2988</v>
      </c>
      <c r="N110" s="21">
        <f t="shared" si="34"/>
        <v>3070</v>
      </c>
      <c r="O110" s="21">
        <f t="shared" si="34"/>
        <v>3169</v>
      </c>
    </row>
    <row r="111" spans="1:15" ht="12">
      <c r="A111" s="35" t="s">
        <v>29</v>
      </c>
      <c r="B111" s="35"/>
      <c r="C111" s="32">
        <f>SUM(D111:O111)</f>
        <v>24900</v>
      </c>
      <c r="D111" s="32">
        <f aca="true" t="shared" si="35" ref="D111:O111">SUM($E$45:$E$47)</f>
        <v>2075</v>
      </c>
      <c r="E111" s="32">
        <f t="shared" si="35"/>
        <v>2075</v>
      </c>
      <c r="F111" s="32">
        <f t="shared" si="35"/>
        <v>2075</v>
      </c>
      <c r="G111" s="32">
        <f t="shared" si="35"/>
        <v>2075</v>
      </c>
      <c r="H111" s="32">
        <f t="shared" si="35"/>
        <v>2075</v>
      </c>
      <c r="I111" s="32">
        <f t="shared" si="35"/>
        <v>2075</v>
      </c>
      <c r="J111" s="32">
        <f t="shared" si="35"/>
        <v>2075</v>
      </c>
      <c r="K111" s="32">
        <f t="shared" si="35"/>
        <v>2075</v>
      </c>
      <c r="L111" s="32">
        <f t="shared" si="35"/>
        <v>2075</v>
      </c>
      <c r="M111" s="32">
        <f t="shared" si="35"/>
        <v>2075</v>
      </c>
      <c r="N111" s="32">
        <f t="shared" si="35"/>
        <v>2075</v>
      </c>
      <c r="O111" s="32">
        <f t="shared" si="35"/>
        <v>2075</v>
      </c>
    </row>
    <row r="112" spans="1:15" ht="12">
      <c r="A112" s="44" t="s">
        <v>42</v>
      </c>
      <c r="B112" s="44"/>
      <c r="C112" s="46">
        <f aca="true" t="shared" si="36" ref="C112:O112">SUM(C107:C111)</f>
        <v>146359.85714285713</v>
      </c>
      <c r="D112" s="46">
        <f t="shared" si="36"/>
        <v>9597</v>
      </c>
      <c r="E112" s="46">
        <f t="shared" si="36"/>
        <v>8736</v>
      </c>
      <c r="F112" s="46">
        <f t="shared" si="36"/>
        <v>9508</v>
      </c>
      <c r="G112" s="46">
        <f t="shared" si="36"/>
        <v>10299</v>
      </c>
      <c r="H112" s="46">
        <f t="shared" si="36"/>
        <v>12044</v>
      </c>
      <c r="I112" s="46">
        <f t="shared" si="36"/>
        <v>11790</v>
      </c>
      <c r="J112" s="46">
        <f t="shared" si="36"/>
        <v>12619</v>
      </c>
      <c r="K112" s="46">
        <f t="shared" si="36"/>
        <v>13154.857142857145</v>
      </c>
      <c r="L112" s="46">
        <f t="shared" si="36"/>
        <v>13650.714285714286</v>
      </c>
      <c r="M112" s="46">
        <f t="shared" si="36"/>
        <v>14261.571428571428</v>
      </c>
      <c r="N112" s="46">
        <f t="shared" si="36"/>
        <v>14981.42857142857</v>
      </c>
      <c r="O112" s="46">
        <f t="shared" si="36"/>
        <v>15718.285714285714</v>
      </c>
    </row>
    <row r="113" spans="1:15" ht="12">
      <c r="A113" s="41"/>
      <c r="B113" s="41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1:15" ht="12">
      <c r="A114" s="48" t="s">
        <v>43</v>
      </c>
      <c r="B114" s="48"/>
      <c r="C114" s="49">
        <f>C104-C112</f>
        <v>31497.14285714287</v>
      </c>
      <c r="D114" s="49">
        <f aca="true" t="shared" si="37" ref="D114:O114">D104-D112</f>
        <v>-1097</v>
      </c>
      <c r="E114" s="49">
        <f t="shared" si="37"/>
        <v>-1236</v>
      </c>
      <c r="F114" s="49">
        <f t="shared" si="37"/>
        <v>-8</v>
      </c>
      <c r="G114" s="49">
        <f t="shared" si="37"/>
        <v>701</v>
      </c>
      <c r="H114" s="49">
        <f t="shared" si="37"/>
        <v>2456</v>
      </c>
      <c r="I114" s="49">
        <f t="shared" si="37"/>
        <v>1710</v>
      </c>
      <c r="J114" s="49">
        <f t="shared" si="37"/>
        <v>2881</v>
      </c>
      <c r="K114" s="49">
        <f t="shared" si="37"/>
        <v>3702.142857142855</v>
      </c>
      <c r="L114" s="49">
        <f t="shared" si="37"/>
        <v>4563.285714285714</v>
      </c>
      <c r="M114" s="49">
        <f t="shared" si="37"/>
        <v>5309.4285714285725</v>
      </c>
      <c r="N114" s="49">
        <f t="shared" si="37"/>
        <v>5947.571428571429</v>
      </c>
      <c r="O114" s="49">
        <f t="shared" si="37"/>
        <v>6567.714285714286</v>
      </c>
    </row>
    <row r="115" spans="1:15" ht="12">
      <c r="A115" s="6"/>
      <c r="B115" s="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ht="12">
      <c r="A116" s="35" t="s">
        <v>35</v>
      </c>
      <c r="B116" s="35"/>
      <c r="C116" s="32">
        <f>SUM(D116:O116)</f>
        <v>5249.263468990812</v>
      </c>
      <c r="D116" s="32">
        <f>IPMT($B$62/12,25,$B$63,$B$64,$B$65,1)*-1</f>
        <v>501.20254628898505</v>
      </c>
      <c r="E116" s="32">
        <f>IPMT($B$62/12,26,$B$63,$B$64,$B$65,1)*-1</f>
        <v>489.89816601908757</v>
      </c>
      <c r="F116" s="32">
        <f>IPMT($B$62/12,27,$B$63,$B$64,$B$65,1)*-1</f>
        <v>478.5085318813212</v>
      </c>
      <c r="G116" s="32">
        <f>IPMT($B$62/12,28,$B$63,$B$64,$B$65,1)*-1</f>
        <v>467.0330009194327</v>
      </c>
      <c r="H116" s="32">
        <f>IPMT($B$62/12,29,$B$63,$B$64,$B$65,1)*-1</f>
        <v>455.47092532820665</v>
      </c>
      <c r="I116" s="32">
        <f>IPMT($B$62/12,30,$B$63,$B$64,$B$65,1)*-1</f>
        <v>443.8216524168968</v>
      </c>
      <c r="J116" s="32">
        <f>IPMT($B$62/12,31,$B$63,$B$64,$B$65,1)*-1</f>
        <v>432.0845245723807</v>
      </c>
      <c r="K116" s="32">
        <f>IPMT($B$62/12,32,$B$63,$B$64,$B$65,1)*-1</f>
        <v>420.25887922203685</v>
      </c>
      <c r="L116" s="32">
        <f>IPMT($B$62/12,33,$B$63,$B$64,$B$65,1)*-1</f>
        <v>408.3440487963435</v>
      </c>
      <c r="M116" s="32">
        <f>IPMT($B$62/12,34,$B$63,$B$64,$B$65,1)*-1</f>
        <v>396.3393606911888</v>
      </c>
      <c r="N116" s="32">
        <f>IPMT($B$62/12,35,$B$63,$B$64,$B$65,1)*-1</f>
        <v>384.24413722990795</v>
      </c>
      <c r="O116" s="32">
        <f>IPMT($B$62/12,36,$B$63,$B$64,$B$65,1)*-1</f>
        <v>372.0576956250232</v>
      </c>
    </row>
    <row r="117" spans="1:15" ht="12">
      <c r="A117" s="44" t="s">
        <v>36</v>
      </c>
      <c r="B117" s="44"/>
      <c r="C117" s="46">
        <f aca="true" t="shared" si="38" ref="C117:O117">0-C116</f>
        <v>-5249.263468990812</v>
      </c>
      <c r="D117" s="46">
        <f t="shared" si="38"/>
        <v>-501.20254628898505</v>
      </c>
      <c r="E117" s="46">
        <f t="shared" si="38"/>
        <v>-489.89816601908757</v>
      </c>
      <c r="F117" s="46">
        <f t="shared" si="38"/>
        <v>-478.5085318813212</v>
      </c>
      <c r="G117" s="46">
        <f t="shared" si="38"/>
        <v>-467.0330009194327</v>
      </c>
      <c r="H117" s="46">
        <f t="shared" si="38"/>
        <v>-455.47092532820665</v>
      </c>
      <c r="I117" s="46">
        <f t="shared" si="38"/>
        <v>-443.8216524168968</v>
      </c>
      <c r="J117" s="46">
        <f t="shared" si="38"/>
        <v>-432.0845245723807</v>
      </c>
      <c r="K117" s="46">
        <f t="shared" si="38"/>
        <v>-420.25887922203685</v>
      </c>
      <c r="L117" s="46">
        <f t="shared" si="38"/>
        <v>-408.3440487963435</v>
      </c>
      <c r="M117" s="46">
        <f t="shared" si="38"/>
        <v>-396.3393606911888</v>
      </c>
      <c r="N117" s="46">
        <f t="shared" si="38"/>
        <v>-384.24413722990795</v>
      </c>
      <c r="O117" s="46">
        <f t="shared" si="38"/>
        <v>-372.0576956250232</v>
      </c>
    </row>
    <row r="118" spans="1:15" ht="12">
      <c r="A118" s="41"/>
      <c r="B118" s="41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1:15" ht="12">
      <c r="A119" s="48" t="s">
        <v>37</v>
      </c>
      <c r="B119" s="48"/>
      <c r="C119" s="49">
        <f>C114+C117</f>
        <v>26247.879388152058</v>
      </c>
      <c r="D119" s="49">
        <f aca="true" t="shared" si="39" ref="D119:O119">D114+D117</f>
        <v>-1598.202546288985</v>
      </c>
      <c r="E119" s="49">
        <f t="shared" si="39"/>
        <v>-1725.8981660190875</v>
      </c>
      <c r="F119" s="49">
        <f t="shared" si="39"/>
        <v>-486.5085318813212</v>
      </c>
      <c r="G119" s="49">
        <f t="shared" si="39"/>
        <v>233.9669990805673</v>
      </c>
      <c r="H119" s="49">
        <f t="shared" si="39"/>
        <v>2000.5290746717933</v>
      </c>
      <c r="I119" s="49">
        <f t="shared" si="39"/>
        <v>1266.1783475831032</v>
      </c>
      <c r="J119" s="49">
        <f t="shared" si="39"/>
        <v>2448.915475427619</v>
      </c>
      <c r="K119" s="49">
        <f t="shared" si="39"/>
        <v>3281.8839779208183</v>
      </c>
      <c r="L119" s="49">
        <f t="shared" si="39"/>
        <v>4154.94166548937</v>
      </c>
      <c r="M119" s="49">
        <f t="shared" si="39"/>
        <v>4913.089210737384</v>
      </c>
      <c r="N119" s="49">
        <f t="shared" si="39"/>
        <v>5563.327291341521</v>
      </c>
      <c r="O119" s="49">
        <f t="shared" si="39"/>
        <v>6195.656590089263</v>
      </c>
    </row>
    <row r="120" spans="1:15" ht="12">
      <c r="A120" s="4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 thickBot="1">
      <c r="A121" s="50" t="s">
        <v>38</v>
      </c>
      <c r="B121" s="50"/>
      <c r="C121" s="51">
        <f>C119</f>
        <v>26247.879388152058</v>
      </c>
      <c r="D121" s="51">
        <f aca="true" t="shared" si="40" ref="D121:O121">D119</f>
        <v>-1598.202546288985</v>
      </c>
      <c r="E121" s="51">
        <f t="shared" si="40"/>
        <v>-1725.8981660190875</v>
      </c>
      <c r="F121" s="51">
        <f t="shared" si="40"/>
        <v>-486.5085318813212</v>
      </c>
      <c r="G121" s="51">
        <f t="shared" si="40"/>
        <v>233.9669990805673</v>
      </c>
      <c r="H121" s="51">
        <f t="shared" si="40"/>
        <v>2000.5290746717933</v>
      </c>
      <c r="I121" s="51">
        <f t="shared" si="40"/>
        <v>1266.1783475831032</v>
      </c>
      <c r="J121" s="51">
        <f t="shared" si="40"/>
        <v>2448.915475427619</v>
      </c>
      <c r="K121" s="51">
        <f t="shared" si="40"/>
        <v>3281.8839779208183</v>
      </c>
      <c r="L121" s="51">
        <f t="shared" si="40"/>
        <v>4154.94166548937</v>
      </c>
      <c r="M121" s="51">
        <f t="shared" si="40"/>
        <v>4913.089210737384</v>
      </c>
      <c r="N121" s="51">
        <f t="shared" si="40"/>
        <v>5563.327291341521</v>
      </c>
      <c r="O121" s="51">
        <f t="shared" si="40"/>
        <v>6195.656590089263</v>
      </c>
    </row>
    <row r="122" ht="12.7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</cp:lastModifiedBy>
  <dcterms:created xsi:type="dcterms:W3CDTF">1996-10-17T05:27:31Z</dcterms:created>
  <dcterms:modified xsi:type="dcterms:W3CDTF">2011-11-29T13:25:09Z</dcterms:modified>
  <cp:category/>
  <cp:version/>
  <cp:contentType/>
  <cp:contentStatus/>
</cp:coreProperties>
</file>